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hidePivotFieldList="1"/>
  <bookViews>
    <workbookView xWindow="0" yWindow="240" windowWidth="28800" windowHeight="11985" tabRatio="669"/>
  </bookViews>
  <sheets>
    <sheet name="title" sheetId="11" r:id="rId1"/>
    <sheet name="эпапы, сроки" sheetId="13" r:id="rId2"/>
    <sheet name="burndown" sheetId="25" r:id="rId3"/>
    <sheet name="этапы БЦ" sheetId="27" r:id="rId4"/>
    <sheet name="исполнение НПА" sheetId="33" r:id="rId5"/>
    <sheet name="timeline" sheetId="32" r:id="rId6"/>
    <sheet name="control" sheetId="17" state="hidden" r:id="rId7"/>
  </sheets>
  <definedNames>
    <definedName name="category">DataTable[Категория]</definedName>
    <definedName name="category_name">'этапы БЦ'!$N$3</definedName>
    <definedName name="category_stats">OFFSET(control!$D$2,,,COUNTA(control!$D$2:$D$30),13)</definedName>
    <definedName name="category_titles">OFFSET(control!$D$2,,,COUNTA(control!$D$2:$D$30),)</definedName>
    <definedName name="datecontrol">'эпапы, сроки'!$H$5</definedName>
    <definedName name="dates_count">OFFSET(control!$B$2,0,0,COUNTA(control!$B$2:$B$65536),1)</definedName>
    <definedName name="dates_end">OFFSET(control!$A$2,0,0,COUNTA(control!$A$2:$A$65536),1)</definedName>
    <definedName name="dates_end_nearest">OFFSET(INDIRECT("control!A"&amp;COUNTA(control!$A$2:$A$65536)+1),0,0,-COUNTA(control!$A$2:$A$65536)-1+MATCH(MIN(ABS(dates_end-TODAY())),ABS(dates_end-TODAY()),0),1)</definedName>
    <definedName name="EndDates">DataTable[Окончание]</definedName>
    <definedName name="NPA">DataTable[Основание (НПА)]</definedName>
    <definedName name="NPA_name">'исполнение НПА'!$N$3</definedName>
    <definedName name="NPA_stats">OFFSET(control!$R$2,,,COUNTA(control!$R$2:$R$30),13)</definedName>
    <definedName name="NPA_titles">OFFSET(control!$R$2,,,COUNTA(control!$R$2:$R$30),)</definedName>
    <definedName name="_xlnm.Print_Area" localSheetId="2">burndown!$A$1:$N$42</definedName>
    <definedName name="_xlnm.Print_Area" localSheetId="5">timeline!$A$1:$Q$178</definedName>
    <definedName name="_xlnm.Print_Area" localSheetId="0">title!$A$1:$D$12</definedName>
    <definedName name="_xlnm.Print_Area" localSheetId="4">'исполнение НПА'!$A$1:$N$39</definedName>
    <definedName name="_xlnm.Print_Area" localSheetId="1">'эпапы, сроки'!$A$1:$AO$103</definedName>
    <definedName name="_xlnm.Print_Area" localSheetId="3">'этапы БЦ'!$A$1:$N$39</definedName>
    <definedName name="_xlnm.Print_Titles" localSheetId="2">burndown!$1:$2</definedName>
    <definedName name="_xlnm.Print_Titles" localSheetId="1">'эпапы, сроки'!$A:$D,'эпапы, сроки'!$4:$7</definedName>
    <definedName name="Table.Действие.Short">MID(DataTable[Действие],1,SEARCH("%",SUBSTITUTE(DataTable[Действие]," ","%",7))-1)</definedName>
    <definedName name="today">'эпапы, сроки'!$G$4</definedName>
    <definedName name="vertex42_copyright" hidden="1">"© 2006-2018 Vertex42 LLC"</definedName>
    <definedName name="vertex42_id" hidden="1">"gantt-chart_L.xlsx"</definedName>
    <definedName name="vertex42_title" hidden="1">"Gantt Chart Template"</definedName>
  </definedNames>
  <calcPr calcId="144525"/>
  <pivotCaches>
    <pivotCache cacheId="2" r:id="rId8"/>
  </pivotCaches>
</workbook>
</file>

<file path=xl/calcChain.xml><?xml version="1.0" encoding="utf-8"?>
<calcChain xmlns="http://schemas.openxmlformats.org/spreadsheetml/2006/main">
  <c r="I101" i="13" l="1"/>
  <c r="L101" i="13" s="1"/>
  <c r="I85" i="13"/>
  <c r="L85" i="13" s="1"/>
  <c r="I47" i="13"/>
  <c r="L47" i="13" s="1"/>
  <c r="I21" i="13"/>
  <c r="L21" i="13" s="1"/>
  <c r="I75" i="13" l="1"/>
  <c r="L75" i="13" s="1"/>
  <c r="I39" i="13"/>
  <c r="L39" i="13" s="1"/>
  <c r="I40" i="13"/>
  <c r="L40" i="13" s="1"/>
  <c r="I41" i="13"/>
  <c r="L41" i="13" s="1"/>
  <c r="I42" i="13"/>
  <c r="L42" i="13" s="1"/>
  <c r="I43" i="13"/>
  <c r="L43" i="13" s="1"/>
  <c r="I44" i="13"/>
  <c r="L44" i="13" s="1"/>
  <c r="I45" i="13"/>
  <c r="L45" i="13" s="1"/>
  <c r="I53" i="13"/>
  <c r="L53" i="13" s="1"/>
  <c r="I54" i="13"/>
  <c r="L54" i="13" s="1"/>
  <c r="I55" i="13"/>
  <c r="L55" i="13" s="1"/>
  <c r="I83" i="13"/>
  <c r="L83" i="13" s="1"/>
  <c r="I87" i="13"/>
  <c r="L87" i="13" s="1"/>
  <c r="I71" i="13"/>
  <c r="L71" i="13" s="1"/>
  <c r="I72" i="13"/>
  <c r="L72" i="13" s="1"/>
  <c r="I74" i="13"/>
  <c r="L74" i="13" s="1"/>
  <c r="I76" i="13"/>
  <c r="L76" i="13" s="1"/>
  <c r="I77" i="13"/>
  <c r="L77" i="13" s="1"/>
  <c r="I78" i="13"/>
  <c r="L78" i="13" s="1"/>
  <c r="I79" i="13"/>
  <c r="L79" i="13" s="1"/>
  <c r="I88" i="13"/>
  <c r="L88" i="13" s="1"/>
  <c r="I89" i="13"/>
  <c r="L89" i="13" s="1"/>
  <c r="I95" i="13"/>
  <c r="L95" i="13" s="1"/>
  <c r="I100" i="13"/>
  <c r="L100" i="13" s="1"/>
  <c r="I102" i="13"/>
  <c r="L102" i="13" s="1"/>
  <c r="S3" i="17" l="1"/>
  <c r="S4" i="17"/>
  <c r="S5" i="17"/>
  <c r="S6" i="17"/>
  <c r="S7" i="17"/>
  <c r="S8" i="17"/>
  <c r="S9" i="17"/>
  <c r="S10" i="17"/>
  <c r="S11" i="17"/>
  <c r="S12" i="17"/>
  <c r="S13" i="17"/>
  <c r="S14" i="17"/>
  <c r="S2" i="17"/>
  <c r="N12" i="33" l="1"/>
  <c r="H92" i="32"/>
  <c r="H17" i="32"/>
  <c r="H137" i="32"/>
  <c r="H35" i="32"/>
  <c r="H131" i="32"/>
  <c r="H89" i="32"/>
  <c r="H59" i="32"/>
  <c r="H149" i="32"/>
  <c r="H47" i="32"/>
  <c r="H95" i="32"/>
  <c r="H107" i="32"/>
  <c r="H101" i="32"/>
  <c r="H155" i="32"/>
  <c r="H23" i="32"/>
  <c r="H119" i="32"/>
  <c r="H113" i="32"/>
  <c r="H77" i="32"/>
  <c r="H41" i="32"/>
  <c r="H53" i="32"/>
  <c r="H143" i="32"/>
  <c r="H173" i="32"/>
  <c r="H83" i="32"/>
  <c r="H29" i="32"/>
  <c r="H11" i="32"/>
  <c r="H167" i="32"/>
  <c r="H125" i="32"/>
  <c r="H65" i="32"/>
  <c r="H161" i="32"/>
  <c r="H71" i="32"/>
  <c r="H98" i="32" l="1"/>
  <c r="H104" i="32" s="1"/>
  <c r="H110" i="32" s="1"/>
  <c r="H116" i="32" s="1"/>
  <c r="H122" i="32" s="1"/>
  <c r="H128" i="32" s="1"/>
  <c r="H134" i="32" s="1"/>
  <c r="H140" i="32" s="1"/>
  <c r="H146" i="32" s="1"/>
  <c r="H152" i="32" s="1"/>
  <c r="H158" i="32" s="1"/>
  <c r="H164" i="32" s="1"/>
  <c r="H170" i="32" s="1"/>
  <c r="H176" i="32" s="1"/>
  <c r="H86" i="32"/>
  <c r="H80" i="32"/>
  <c r="H74" i="32"/>
  <c r="H68" i="32"/>
  <c r="H62" i="32"/>
  <c r="H56" i="32"/>
  <c r="H50" i="32"/>
  <c r="H44" i="32"/>
  <c r="H38" i="32"/>
  <c r="H32" i="32"/>
  <c r="H26" i="32"/>
  <c r="H20" i="32"/>
  <c r="H14" i="32"/>
  <c r="H5" i="32"/>
  <c r="A164" i="32" l="1"/>
  <c r="A152" i="32"/>
  <c r="A140" i="32"/>
  <c r="A128" i="32"/>
  <c r="A116" i="32"/>
  <c r="A104" i="32"/>
  <c r="A92" i="32"/>
  <c r="A80" i="32"/>
  <c r="A68" i="32"/>
  <c r="A56" i="32"/>
  <c r="A44" i="32"/>
  <c r="A32" i="32"/>
  <c r="A20" i="32"/>
  <c r="A8" i="32"/>
  <c r="L170" i="32"/>
  <c r="L158" i="32"/>
  <c r="L146" i="32"/>
  <c r="L134" i="32"/>
  <c r="L122" i="32"/>
  <c r="L110" i="32"/>
  <c r="L98" i="32"/>
  <c r="L86" i="32"/>
  <c r="L74" i="32"/>
  <c r="L62" i="32"/>
  <c r="L50" i="32"/>
  <c r="L38" i="32"/>
  <c r="L26" i="32"/>
  <c r="L14" i="32"/>
  <c r="L2" i="32"/>
  <c r="N12" i="27"/>
  <c r="L35" i="25" l="1"/>
  <c r="G35" i="25"/>
  <c r="B35" i="25"/>
  <c r="L25" i="25"/>
  <c r="G25" i="25"/>
  <c r="B25" i="25"/>
  <c r="L15" i="25"/>
  <c r="G15" i="25"/>
  <c r="B15" i="25"/>
  <c r="L5" i="25"/>
  <c r="G5" i="25"/>
  <c r="B5" i="25" l="1"/>
  <c r="I30" i="13" l="1"/>
  <c r="L30" i="13" s="1"/>
  <c r="I31" i="13"/>
  <c r="L31" i="13" s="1"/>
  <c r="I9" i="13"/>
  <c r="L9" i="13" s="1"/>
  <c r="I18" i="13"/>
  <c r="L18" i="13" s="1"/>
  <c r="I16" i="13"/>
  <c r="L16" i="13" s="1"/>
  <c r="I15" i="13"/>
  <c r="L15" i="13" s="1"/>
  <c r="I8" i="13"/>
  <c r="L8" i="13" l="1"/>
  <c r="C3" i="11"/>
  <c r="I103" i="13" l="1"/>
  <c r="L103" i="13" s="1"/>
  <c r="I99" i="13"/>
  <c r="L99" i="13" s="1"/>
  <c r="I98" i="13"/>
  <c r="L98" i="13" s="1"/>
  <c r="I97" i="13"/>
  <c r="L97" i="13" s="1"/>
  <c r="I96" i="13"/>
  <c r="L96" i="13" s="1"/>
  <c r="I70" i="13"/>
  <c r="I94" i="13"/>
  <c r="L94" i="13" s="1"/>
  <c r="I93" i="13"/>
  <c r="I91" i="13"/>
  <c r="L91" i="13" s="1"/>
  <c r="I90" i="13"/>
  <c r="L90" i="13" s="1"/>
  <c r="I86" i="13"/>
  <c r="L86" i="13" s="1"/>
  <c r="I92" i="13"/>
  <c r="L92" i="13" s="1"/>
  <c r="I68" i="13"/>
  <c r="I67" i="13"/>
  <c r="I66" i="13"/>
  <c r="I65" i="13"/>
  <c r="I69" i="13"/>
  <c r="I73" i="13"/>
  <c r="L73" i="13" s="1"/>
  <c r="I46" i="13"/>
  <c r="I63" i="13"/>
  <c r="I62" i="13"/>
  <c r="I52" i="13"/>
  <c r="I51" i="13"/>
  <c r="L51" i="13" s="1"/>
  <c r="I60" i="13"/>
  <c r="L60" i="13" s="1"/>
  <c r="I59" i="13"/>
  <c r="L59" i="13" s="1"/>
  <c r="I57" i="13"/>
  <c r="L57" i="13" s="1"/>
  <c r="I56" i="13"/>
  <c r="L56" i="13" s="1"/>
  <c r="I49" i="13"/>
  <c r="L49" i="13" s="1"/>
  <c r="I48" i="13"/>
  <c r="L48" i="13" s="1"/>
  <c r="I61" i="13"/>
  <c r="I82" i="13"/>
  <c r="I58" i="13"/>
  <c r="L58" i="13" s="1"/>
  <c r="I84" i="13"/>
  <c r="I81" i="13"/>
  <c r="I64" i="13"/>
  <c r="I34" i="13"/>
  <c r="I35" i="13"/>
  <c r="I50" i="13"/>
  <c r="I38" i="13"/>
  <c r="I37" i="13"/>
  <c r="I80" i="13"/>
  <c r="I33" i="13"/>
  <c r="I36" i="13"/>
  <c r="I28" i="13"/>
  <c r="L28" i="13" s="1"/>
  <c r="I29" i="13"/>
  <c r="L29" i="13" s="1"/>
  <c r="I27" i="13"/>
  <c r="L27" i="13" s="1"/>
  <c r="I26" i="13"/>
  <c r="L26" i="13" s="1"/>
  <c r="I25" i="13"/>
  <c r="L25" i="13" s="1"/>
  <c r="I32" i="13"/>
  <c r="L32" i="13" s="1"/>
  <c r="I23" i="13"/>
  <c r="L23" i="13" s="1"/>
  <c r="I22" i="13"/>
  <c r="L22" i="13" s="1"/>
  <c r="I24" i="13"/>
  <c r="L24" i="13" s="1"/>
  <c r="I19" i="13"/>
  <c r="L19" i="13" s="1"/>
  <c r="I20" i="13"/>
  <c r="L20" i="13" s="1"/>
  <c r="I17" i="13"/>
  <c r="L17" i="13" s="1"/>
  <c r="I14" i="13"/>
  <c r="L14" i="13" s="1"/>
  <c r="I13" i="13"/>
  <c r="L13" i="13" s="1"/>
  <c r="I12" i="13"/>
  <c r="L12" i="13" s="1"/>
  <c r="I11" i="13"/>
  <c r="L11" i="13" s="1"/>
  <c r="L93" i="13"/>
  <c r="I10" i="13"/>
  <c r="G4" i="13"/>
  <c r="M41" i="25" l="1" a="1"/>
  <c r="M41" i="25" s="1"/>
  <c r="M11" i="25" a="1"/>
  <c r="M11" i="25" s="1"/>
  <c r="C41" i="25" a="1"/>
  <c r="C41" i="25" s="1"/>
  <c r="C11" i="25" a="1"/>
  <c r="C11" i="25" s="1"/>
  <c r="H11" i="25" a="1"/>
  <c r="H11" i="25" s="1"/>
  <c r="C31" i="25" a="1"/>
  <c r="C31" i="25" s="1"/>
  <c r="H31" i="25" a="1"/>
  <c r="H31" i="25" s="1"/>
  <c r="M21" i="25" a="1"/>
  <c r="M21" i="25" s="1"/>
  <c r="C21" i="25" a="1"/>
  <c r="C21" i="25" s="1"/>
  <c r="H41" i="25" a="1"/>
  <c r="H41" i="25" s="1"/>
  <c r="M31" i="25" a="1"/>
  <c r="M31" i="25" s="1"/>
  <c r="H21" i="25" a="1"/>
  <c r="H21" i="25" s="1"/>
  <c r="N14" i="33" a="1"/>
  <c r="N14" i="33" s="1"/>
  <c r="N15" i="33" a="1"/>
  <c r="N15" i="33" s="1"/>
  <c r="N14" i="27" a="1"/>
  <c r="N14" i="27" s="1"/>
  <c r="N15" i="27" a="1"/>
  <c r="N15" i="27" s="1"/>
  <c r="A2" i="13" a="1"/>
  <c r="A2" i="13" s="1"/>
  <c r="J5" i="17" a="1"/>
  <c r="J5" i="17" s="1"/>
  <c r="G2" i="17" a="1"/>
  <c r="G2" i="17" s="1"/>
  <c r="H2" i="17" a="1"/>
  <c r="H2" i="17" s="1"/>
  <c r="J2" i="17" a="1"/>
  <c r="J2" i="17" s="1"/>
  <c r="I2" i="17" a="1"/>
  <c r="I2" i="17" s="1"/>
  <c r="K2" i="17" a="1"/>
  <c r="K2" i="17" s="1"/>
  <c r="G3" i="17" a="1"/>
  <c r="G3" i="17" s="1"/>
  <c r="I3" i="17" a="1"/>
  <c r="I3" i="17" s="1"/>
  <c r="K3" i="17" a="1"/>
  <c r="K3" i="17" s="1"/>
  <c r="H4" i="17" a="1"/>
  <c r="H4" i="17" s="1"/>
  <c r="J4" i="17" a="1"/>
  <c r="J4" i="17" s="1"/>
  <c r="G5" i="17" a="1"/>
  <c r="G5" i="17" s="1"/>
  <c r="I5" i="17" a="1"/>
  <c r="I5" i="17" s="1"/>
  <c r="K5" i="17" a="1"/>
  <c r="K5" i="17" s="1"/>
  <c r="H6" i="17" a="1"/>
  <c r="H6" i="17" s="1"/>
  <c r="J6" i="17" a="1"/>
  <c r="J6" i="17" s="1"/>
  <c r="G7" i="17" a="1"/>
  <c r="G7" i="17" s="1"/>
  <c r="I7" i="17" a="1"/>
  <c r="I7" i="17" s="1"/>
  <c r="H3" i="17" a="1"/>
  <c r="H3" i="17" s="1"/>
  <c r="J3" i="17" a="1"/>
  <c r="J3" i="17" s="1"/>
  <c r="G4" i="17" a="1"/>
  <c r="G4" i="17" s="1"/>
  <c r="I4" i="17" a="1"/>
  <c r="I4" i="17" s="1"/>
  <c r="K4" i="17" a="1"/>
  <c r="K4" i="17" s="1"/>
  <c r="H5" i="17" a="1"/>
  <c r="H5" i="17" s="1"/>
  <c r="G6" i="17" a="1"/>
  <c r="G6" i="17" s="1"/>
  <c r="I6" i="17" a="1"/>
  <c r="I6" i="17" s="1"/>
  <c r="K6" i="17" a="1"/>
  <c r="K6" i="17" s="1"/>
  <c r="H7" i="17" a="1"/>
  <c r="H7" i="17" s="1"/>
  <c r="J7" i="17" a="1"/>
  <c r="J7" i="17" s="1"/>
  <c r="K7" i="17" a="1"/>
  <c r="K7" i="17" s="1"/>
  <c r="F36" i="25" a="1"/>
  <c r="F36" i="25" s="1"/>
  <c r="F37" i="25" s="1"/>
  <c r="A26" i="25" a="1"/>
  <c r="A26" i="25" s="1"/>
  <c r="A27" i="25" s="1"/>
  <c r="K6" i="25" a="1"/>
  <c r="K6" i="25" s="1"/>
  <c r="K7" i="25" s="1"/>
  <c r="K26" i="25" a="1"/>
  <c r="K26" i="25" s="1"/>
  <c r="K27" i="25" s="1"/>
  <c r="F16" i="25" a="1"/>
  <c r="F16" i="25" s="1"/>
  <c r="F17" i="25" s="1"/>
  <c r="F26" i="25" a="1"/>
  <c r="A36" i="25" a="1"/>
  <c r="A36" i="25" s="1"/>
  <c r="A37" i="25" s="1"/>
  <c r="K16" i="25" a="1"/>
  <c r="K16" i="25" s="1"/>
  <c r="K17" i="25" s="1"/>
  <c r="F6" i="25" a="1"/>
  <c r="F6" i="25" s="1"/>
  <c r="F7" i="25" s="1"/>
  <c r="K36" i="25" a="1"/>
  <c r="K36" i="25" s="1"/>
  <c r="K37" i="25" s="1"/>
  <c r="A16" i="25" a="1"/>
  <c r="A16" i="25" s="1"/>
  <c r="A17" i="25" s="1"/>
  <c r="Z3" i="17" a="1"/>
  <c r="Z3" i="17" s="1"/>
  <c r="AB3" i="17" a="1"/>
  <c r="AB3" i="17" s="1"/>
  <c r="AD3" i="17" a="1"/>
  <c r="AD3" i="17" s="1"/>
  <c r="AA4" i="17" a="1"/>
  <c r="AA4" i="17" s="1"/>
  <c r="AC4" i="17" a="1"/>
  <c r="AC4" i="17" s="1"/>
  <c r="Z5" i="17" a="1"/>
  <c r="Z5" i="17" s="1"/>
  <c r="AB5" i="17" a="1"/>
  <c r="AB5" i="17" s="1"/>
  <c r="AD5" i="17" a="1"/>
  <c r="AD5" i="17" s="1"/>
  <c r="AA6" i="17" a="1"/>
  <c r="AA6" i="17" s="1"/>
  <c r="AC6" i="17" a="1"/>
  <c r="AC6" i="17" s="1"/>
  <c r="Z7" i="17" a="1"/>
  <c r="Z7" i="17" s="1"/>
  <c r="AB7" i="17" a="1"/>
  <c r="AB7" i="17" s="1"/>
  <c r="AD7" i="17" a="1"/>
  <c r="AD7" i="17" s="1"/>
  <c r="AA8" i="17" a="1"/>
  <c r="AA8" i="17" s="1"/>
  <c r="AC8" i="17" a="1"/>
  <c r="AC8" i="17" s="1"/>
  <c r="Z9" i="17" a="1"/>
  <c r="Z9" i="17" s="1"/>
  <c r="AB9" i="17" a="1"/>
  <c r="AB9" i="17" s="1"/>
  <c r="AD9" i="17" a="1"/>
  <c r="AD9" i="17" s="1"/>
  <c r="AA10" i="17" a="1"/>
  <c r="AA10" i="17" s="1"/>
  <c r="AC10" i="17" a="1"/>
  <c r="AC10" i="17" s="1"/>
  <c r="Z11" i="17" a="1"/>
  <c r="Z11" i="17" s="1"/>
  <c r="AB11" i="17" a="1"/>
  <c r="AB11" i="17" s="1"/>
  <c r="AD11" i="17" a="1"/>
  <c r="AD11" i="17" s="1"/>
  <c r="AA12" i="17" a="1"/>
  <c r="AA12" i="17" s="1"/>
  <c r="AC12" i="17" a="1"/>
  <c r="AC12" i="17" s="1"/>
  <c r="Z13" i="17" a="1"/>
  <c r="Z13" i="17" s="1"/>
  <c r="AB13" i="17" a="1"/>
  <c r="AB13" i="17" s="1"/>
  <c r="AD13" i="17" a="1"/>
  <c r="AD13" i="17" s="1"/>
  <c r="AA14" i="17" a="1"/>
  <c r="AA14" i="17" s="1"/>
  <c r="AC14" i="17" a="1"/>
  <c r="AC14" i="17" s="1"/>
  <c r="AA3" i="17" a="1"/>
  <c r="AA3" i="17" s="1"/>
  <c r="AC3" i="17" a="1"/>
  <c r="AC3" i="17" s="1"/>
  <c r="Z4" i="17" a="1"/>
  <c r="Z4" i="17" s="1"/>
  <c r="AB4" i="17" a="1"/>
  <c r="AB4" i="17" s="1"/>
  <c r="AD4" i="17" a="1"/>
  <c r="AD4" i="17" s="1"/>
  <c r="AA5" i="17" a="1"/>
  <c r="AA5" i="17" s="1"/>
  <c r="AC5" i="17" a="1"/>
  <c r="AC5" i="17" s="1"/>
  <c r="Z6" i="17" a="1"/>
  <c r="Z6" i="17" s="1"/>
  <c r="AB6" i="17" a="1"/>
  <c r="AB6" i="17" s="1"/>
  <c r="AD6" i="17" a="1"/>
  <c r="AD6" i="17" s="1"/>
  <c r="AA7" i="17" a="1"/>
  <c r="AA7" i="17" s="1"/>
  <c r="AC7" i="17" a="1"/>
  <c r="AC7" i="17" s="1"/>
  <c r="Z8" i="17" a="1"/>
  <c r="Z8" i="17" s="1"/>
  <c r="AB8" i="17" a="1"/>
  <c r="AB8" i="17" s="1"/>
  <c r="AD8" i="17" a="1"/>
  <c r="AD8" i="17" s="1"/>
  <c r="AA9" i="17" a="1"/>
  <c r="AA9" i="17" s="1"/>
  <c r="AC9" i="17" a="1"/>
  <c r="AC9" i="17" s="1"/>
  <c r="Z10" i="17" a="1"/>
  <c r="Z10" i="17" s="1"/>
  <c r="AB10" i="17" a="1"/>
  <c r="AB10" i="17" s="1"/>
  <c r="AD10" i="17" a="1"/>
  <c r="AD10" i="17" s="1"/>
  <c r="AA11" i="17" a="1"/>
  <c r="AA11" i="17" s="1"/>
  <c r="AC11" i="17" a="1"/>
  <c r="AC11" i="17" s="1"/>
  <c r="Z12" i="17" a="1"/>
  <c r="Z12" i="17" s="1"/>
  <c r="AB12" i="17" a="1"/>
  <c r="AB12" i="17" s="1"/>
  <c r="AD12" i="17" a="1"/>
  <c r="AD12" i="17" s="1"/>
  <c r="AA13" i="17" a="1"/>
  <c r="AA13" i="17" s="1"/>
  <c r="Z14" i="17" a="1"/>
  <c r="Z14" i="17" s="1"/>
  <c r="AD14" i="17" a="1"/>
  <c r="AD14" i="17" s="1"/>
  <c r="AC13" i="17" a="1"/>
  <c r="AC13" i="17" s="1"/>
  <c r="AB14" i="17" a="1"/>
  <c r="AB14" i="17" s="1"/>
  <c r="Z2" i="17" a="1"/>
  <c r="Z2" i="17" s="1"/>
  <c r="AA2" i="17" a="1"/>
  <c r="AA2" i="17" s="1"/>
  <c r="AC2" i="17" a="1"/>
  <c r="AC2" i="17" s="1"/>
  <c r="AB2" i="17" a="1"/>
  <c r="AB2" i="17" s="1"/>
  <c r="AD2" i="17" a="1"/>
  <c r="AD2" i="17" s="1"/>
  <c r="U3" i="17" a="1"/>
  <c r="U3" i="17" s="1"/>
  <c r="W3" i="17" a="1"/>
  <c r="W3" i="17" s="1"/>
  <c r="Y3" i="17" a="1"/>
  <c r="Y3" i="17" s="1"/>
  <c r="V4" i="17" a="1"/>
  <c r="V4" i="17" s="1"/>
  <c r="X4" i="17" a="1"/>
  <c r="X4" i="17" s="1"/>
  <c r="U5" i="17" a="1"/>
  <c r="U5" i="17" s="1"/>
  <c r="W5" i="17" a="1"/>
  <c r="W5" i="17" s="1"/>
  <c r="Y5" i="17" a="1"/>
  <c r="Y5" i="17" s="1"/>
  <c r="V6" i="17" a="1"/>
  <c r="V6" i="17" s="1"/>
  <c r="X6" i="17" a="1"/>
  <c r="X6" i="17" s="1"/>
  <c r="U7" i="17" a="1"/>
  <c r="U7" i="17" s="1"/>
  <c r="W7" i="17" a="1"/>
  <c r="W7" i="17" s="1"/>
  <c r="Y7" i="17" a="1"/>
  <c r="Y7" i="17" s="1"/>
  <c r="V8" i="17" a="1"/>
  <c r="V8" i="17" s="1"/>
  <c r="X8" i="17" a="1"/>
  <c r="X8" i="17" s="1"/>
  <c r="U9" i="17" a="1"/>
  <c r="U9" i="17" s="1"/>
  <c r="W9" i="17" a="1"/>
  <c r="W9" i="17" s="1"/>
  <c r="Y9" i="17" a="1"/>
  <c r="Y9" i="17" s="1"/>
  <c r="V10" i="17" a="1"/>
  <c r="V10" i="17" s="1"/>
  <c r="X10" i="17" a="1"/>
  <c r="X10" i="17" s="1"/>
  <c r="U11" i="17" a="1"/>
  <c r="U11" i="17" s="1"/>
  <c r="W11" i="17" a="1"/>
  <c r="W11" i="17" s="1"/>
  <c r="Y11" i="17" a="1"/>
  <c r="Y11" i="17" s="1"/>
  <c r="V12" i="17" a="1"/>
  <c r="V12" i="17" s="1"/>
  <c r="X12" i="17" a="1"/>
  <c r="X12" i="17" s="1"/>
  <c r="U13" i="17" a="1"/>
  <c r="U13" i="17" s="1"/>
  <c r="W13" i="17" a="1"/>
  <c r="W13" i="17" s="1"/>
  <c r="Y13" i="17" a="1"/>
  <c r="Y13" i="17" s="1"/>
  <c r="V14" i="17" a="1"/>
  <c r="V14" i="17" s="1"/>
  <c r="X14" i="17" a="1"/>
  <c r="X14" i="17" s="1"/>
  <c r="V3" i="17" a="1"/>
  <c r="V3" i="17" s="1"/>
  <c r="X3" i="17" a="1"/>
  <c r="X3" i="17" s="1"/>
  <c r="U4" i="17" a="1"/>
  <c r="U4" i="17" s="1"/>
  <c r="W4" i="17" a="1"/>
  <c r="W4" i="17" s="1"/>
  <c r="Y4" i="17" a="1"/>
  <c r="Y4" i="17" s="1"/>
  <c r="V5" i="17" a="1"/>
  <c r="V5" i="17" s="1"/>
  <c r="X5" i="17" a="1"/>
  <c r="X5" i="17" s="1"/>
  <c r="U6" i="17" a="1"/>
  <c r="U6" i="17" s="1"/>
  <c r="W6" i="17" a="1"/>
  <c r="W6" i="17" s="1"/>
  <c r="Y6" i="17" a="1"/>
  <c r="Y6" i="17" s="1"/>
  <c r="V7" i="17" a="1"/>
  <c r="V7" i="17" s="1"/>
  <c r="X7" i="17" a="1"/>
  <c r="X7" i="17" s="1"/>
  <c r="U8" i="17" a="1"/>
  <c r="U8" i="17" s="1"/>
  <c r="W8" i="17" a="1"/>
  <c r="W8" i="17" s="1"/>
  <c r="Y8" i="17" a="1"/>
  <c r="Y8" i="17" s="1"/>
  <c r="V9" i="17" a="1"/>
  <c r="V9" i="17" s="1"/>
  <c r="X9" i="17" a="1"/>
  <c r="X9" i="17" s="1"/>
  <c r="U10" i="17" a="1"/>
  <c r="U10" i="17" s="1"/>
  <c r="W10" i="17" a="1"/>
  <c r="W10" i="17" s="1"/>
  <c r="Y10" i="17" a="1"/>
  <c r="Y10" i="17" s="1"/>
  <c r="V11" i="17" a="1"/>
  <c r="V11" i="17" s="1"/>
  <c r="X11" i="17" a="1"/>
  <c r="X11" i="17" s="1"/>
  <c r="U12" i="17" a="1"/>
  <c r="U12" i="17" s="1"/>
  <c r="W12" i="17" a="1"/>
  <c r="W12" i="17" s="1"/>
  <c r="Y12" i="17" a="1"/>
  <c r="Y12" i="17" s="1"/>
  <c r="V13" i="17" a="1"/>
  <c r="V13" i="17" s="1"/>
  <c r="X13" i="17" a="1"/>
  <c r="X13" i="17" s="1"/>
  <c r="U14" i="17" a="1"/>
  <c r="U14" i="17" s="1"/>
  <c r="W14" i="17" a="1"/>
  <c r="W14" i="17" s="1"/>
  <c r="Y14" i="17" a="1"/>
  <c r="Y14" i="17" s="1"/>
  <c r="U2" i="17" a="1"/>
  <c r="U2" i="17" s="1"/>
  <c r="V2" i="17" a="1"/>
  <c r="V2" i="17" s="1"/>
  <c r="X2" i="17" a="1"/>
  <c r="X2" i="17" s="1"/>
  <c r="W2" i="17" a="1"/>
  <c r="W2" i="17" s="1"/>
  <c r="Y2" i="17" a="1"/>
  <c r="Y2" i="17" s="1"/>
  <c r="G8" i="17" a="1"/>
  <c r="G8" i="17" s="1"/>
  <c r="K8" i="17" a="1"/>
  <c r="K8" i="17" s="1"/>
  <c r="O8" i="17" a="1"/>
  <c r="O8" i="17" s="1"/>
  <c r="I9" i="17" a="1"/>
  <c r="I9" i="17" s="1"/>
  <c r="M9" i="17" a="1"/>
  <c r="M9" i="17" s="1"/>
  <c r="G10" i="17" a="1"/>
  <c r="G10" i="17" s="1"/>
  <c r="K10" i="17" a="1"/>
  <c r="K10" i="17" s="1"/>
  <c r="O10" i="17" a="1"/>
  <c r="O10" i="17" s="1"/>
  <c r="I11" i="17" a="1"/>
  <c r="I11" i="17" s="1"/>
  <c r="M11" i="17" a="1"/>
  <c r="M11" i="17" s="1"/>
  <c r="G12" i="17" a="1"/>
  <c r="G12" i="17" s="1"/>
  <c r="K12" i="17" a="1"/>
  <c r="K12" i="17" s="1"/>
  <c r="O12" i="17" a="1"/>
  <c r="O12" i="17" s="1"/>
  <c r="I13" i="17" a="1"/>
  <c r="I13" i="17" s="1"/>
  <c r="M13" i="17" a="1"/>
  <c r="M13" i="17" s="1"/>
  <c r="G14" i="17" a="1"/>
  <c r="G14" i="17" s="1"/>
  <c r="K14" i="17" a="1"/>
  <c r="K14" i="17" s="1"/>
  <c r="O14" i="17" a="1"/>
  <c r="O14" i="17" s="1"/>
  <c r="I15" i="17" a="1"/>
  <c r="I15" i="17" s="1"/>
  <c r="M15" i="17" a="1"/>
  <c r="M15" i="17" s="1"/>
  <c r="G16" i="17" a="1"/>
  <c r="G16" i="17" s="1"/>
  <c r="K16" i="17" a="1"/>
  <c r="K16" i="17" s="1"/>
  <c r="O16" i="17" a="1"/>
  <c r="O16" i="17" s="1"/>
  <c r="I17" i="17" a="1"/>
  <c r="I17" i="17" s="1"/>
  <c r="M17" i="17" a="1"/>
  <c r="M17" i="17" s="1"/>
  <c r="G18" i="17" a="1"/>
  <c r="G18" i="17" s="1"/>
  <c r="K18" i="17" a="1"/>
  <c r="K18" i="17" s="1"/>
  <c r="O18" i="17" a="1"/>
  <c r="O18" i="17" s="1"/>
  <c r="I19" i="17" a="1"/>
  <c r="I19" i="17" s="1"/>
  <c r="L8" i="17" a="1"/>
  <c r="L8" i="17" s="1"/>
  <c r="J9" i="17" a="1"/>
  <c r="J9" i="17" s="1"/>
  <c r="H10" i="17" a="1"/>
  <c r="H10" i="17" s="1"/>
  <c r="P10" i="17" a="1"/>
  <c r="P10" i="17" s="1"/>
  <c r="N11" i="17" a="1"/>
  <c r="N11" i="17" s="1"/>
  <c r="L12" i="17" a="1"/>
  <c r="L12" i="17" s="1"/>
  <c r="J13" i="17" a="1"/>
  <c r="J13" i="17" s="1"/>
  <c r="H14" i="17" a="1"/>
  <c r="H14" i="17" s="1"/>
  <c r="P14" i="17" a="1"/>
  <c r="P14" i="17" s="1"/>
  <c r="N15" i="17" a="1"/>
  <c r="N15" i="17" s="1"/>
  <c r="L16" i="17" a="1"/>
  <c r="L16" i="17" s="1"/>
  <c r="J17" i="17" a="1"/>
  <c r="J17" i="17" s="1"/>
  <c r="H18" i="17" a="1"/>
  <c r="H18" i="17" s="1"/>
  <c r="P18" i="17" a="1"/>
  <c r="P18" i="17" s="1"/>
  <c r="N19" i="17" a="1"/>
  <c r="N19" i="17" s="1"/>
  <c r="L20" i="17" a="1"/>
  <c r="L20" i="17" s="1"/>
  <c r="J21" i="17" a="1"/>
  <c r="J21" i="17" s="1"/>
  <c r="H22" i="17" a="1"/>
  <c r="H22" i="17" s="1"/>
  <c r="P22" i="17" a="1"/>
  <c r="P22" i="17" s="1"/>
  <c r="J23" i="17" a="1"/>
  <c r="J23" i="17" s="1"/>
  <c r="H24" i="17" a="1"/>
  <c r="H24" i="17" s="1"/>
  <c r="P24" i="17" a="1"/>
  <c r="P24" i="17" s="1"/>
  <c r="N25" i="17" a="1"/>
  <c r="N25" i="17" s="1"/>
  <c r="L26" i="17" a="1"/>
  <c r="L26" i="17" s="1"/>
  <c r="J27" i="17" a="1"/>
  <c r="J27" i="17" s="1"/>
  <c r="H28" i="17" a="1"/>
  <c r="H28" i="17" s="1"/>
  <c r="J29" i="17" a="1"/>
  <c r="J29" i="17" s="1"/>
  <c r="H8" i="17" a="1"/>
  <c r="H8" i="17" s="1"/>
  <c r="P8" i="17" a="1"/>
  <c r="P8" i="17" s="1"/>
  <c r="N9" i="17" a="1"/>
  <c r="N9" i="17" s="1"/>
  <c r="L10" i="17" a="1"/>
  <c r="L10" i="17" s="1"/>
  <c r="J11" i="17" a="1"/>
  <c r="J11" i="17" s="1"/>
  <c r="H12" i="17" a="1"/>
  <c r="H12" i="17" s="1"/>
  <c r="P12" i="17" a="1"/>
  <c r="P12" i="17" s="1"/>
  <c r="N13" i="17" a="1"/>
  <c r="N13" i="17" s="1"/>
  <c r="L14" i="17" a="1"/>
  <c r="L14" i="17" s="1"/>
  <c r="J15" i="17" a="1"/>
  <c r="J15" i="17" s="1"/>
  <c r="H16" i="17" a="1"/>
  <c r="H16" i="17" s="1"/>
  <c r="P16" i="17" a="1"/>
  <c r="P16" i="17" s="1"/>
  <c r="N17" i="17" a="1"/>
  <c r="N17" i="17" s="1"/>
  <c r="L18" i="17" a="1"/>
  <c r="L18" i="17" s="1"/>
  <c r="J19" i="17" a="1"/>
  <c r="J19" i="17" s="1"/>
  <c r="H20" i="17" a="1"/>
  <c r="H20" i="17" s="1"/>
  <c r="P20" i="17" a="1"/>
  <c r="P20" i="17" s="1"/>
  <c r="N21" i="17" a="1"/>
  <c r="N21" i="17" s="1"/>
  <c r="L22" i="17" a="1"/>
  <c r="L22" i="17" s="1"/>
  <c r="N23" i="17" a="1"/>
  <c r="N23" i="17" s="1"/>
  <c r="L24" i="17" a="1"/>
  <c r="L24" i="17" s="1"/>
  <c r="J25" i="17" a="1"/>
  <c r="J25" i="17" s="1"/>
  <c r="H26" i="17" a="1"/>
  <c r="H26" i="17" s="1"/>
  <c r="P26" i="17" a="1"/>
  <c r="P26" i="17" s="1"/>
  <c r="N27" i="17" a="1"/>
  <c r="N27" i="17" s="1"/>
  <c r="L28" i="17" a="1"/>
  <c r="L28" i="17" s="1"/>
  <c r="P28" i="17" a="1"/>
  <c r="P28" i="17" s="1"/>
  <c r="N29" i="17" a="1"/>
  <c r="N29" i="17" s="1"/>
  <c r="M8" i="17" a="1"/>
  <c r="M8" i="17" s="1"/>
  <c r="K9" i="17" a="1"/>
  <c r="K9" i="17" s="1"/>
  <c r="I10" i="17" a="1"/>
  <c r="I10" i="17" s="1"/>
  <c r="G11" i="17" a="1"/>
  <c r="G11" i="17" s="1"/>
  <c r="O11" i="17" a="1"/>
  <c r="O11" i="17" s="1"/>
  <c r="M12" i="17" a="1"/>
  <c r="M12" i="17" s="1"/>
  <c r="K13" i="17" a="1"/>
  <c r="K13" i="17" s="1"/>
  <c r="I14" i="17" a="1"/>
  <c r="I14" i="17" s="1"/>
  <c r="G15" i="17" a="1"/>
  <c r="G15" i="17" s="1"/>
  <c r="O15" i="17" a="1"/>
  <c r="O15" i="17" s="1"/>
  <c r="M16" i="17" a="1"/>
  <c r="M16" i="17" s="1"/>
  <c r="K17" i="17" a="1"/>
  <c r="K17" i="17" s="1"/>
  <c r="I18" i="17" a="1"/>
  <c r="I18" i="17" s="1"/>
  <c r="G19" i="17" a="1"/>
  <c r="G19" i="17" s="1"/>
  <c r="O19" i="17" a="1"/>
  <c r="O19" i="17" s="1"/>
  <c r="M20" i="17" a="1"/>
  <c r="M20" i="17" s="1"/>
  <c r="K21" i="17" a="1"/>
  <c r="K21" i="17" s="1"/>
  <c r="I22" i="17" a="1"/>
  <c r="I22" i="17" s="1"/>
  <c r="G23" i="17" a="1"/>
  <c r="G23" i="17" s="1"/>
  <c r="O23" i="17" a="1"/>
  <c r="O23" i="17" s="1"/>
  <c r="M24" i="17" a="1"/>
  <c r="M24" i="17" s="1"/>
  <c r="K25" i="17" a="1"/>
  <c r="K25" i="17" s="1"/>
  <c r="I26" i="17" a="1"/>
  <c r="I26" i="17" s="1"/>
  <c r="G27" i="17" a="1"/>
  <c r="G27" i="17" s="1"/>
  <c r="O27" i="17" a="1"/>
  <c r="O27" i="17" s="1"/>
  <c r="M28" i="17" a="1"/>
  <c r="M28" i="17" s="1"/>
  <c r="K29" i="17" a="1"/>
  <c r="K29" i="17" s="1"/>
  <c r="I8" i="17" a="1"/>
  <c r="I8" i="17" s="1"/>
  <c r="G9" i="17" a="1"/>
  <c r="G9" i="17" s="1"/>
  <c r="O9" i="17" a="1"/>
  <c r="O9" i="17" s="1"/>
  <c r="M10" i="17" a="1"/>
  <c r="M10" i="17" s="1"/>
  <c r="K11" i="17" a="1"/>
  <c r="K11" i="17" s="1"/>
  <c r="I12" i="17" a="1"/>
  <c r="I12" i="17" s="1"/>
  <c r="G13" i="17" a="1"/>
  <c r="G13" i="17" s="1"/>
  <c r="O13" i="17" a="1"/>
  <c r="O13" i="17" s="1"/>
  <c r="M14" i="17" a="1"/>
  <c r="M14" i="17" s="1"/>
  <c r="K15" i="17" a="1"/>
  <c r="K15" i="17" s="1"/>
  <c r="I16" i="17" a="1"/>
  <c r="I16" i="17" s="1"/>
  <c r="G17" i="17" a="1"/>
  <c r="G17" i="17" s="1"/>
  <c r="O17" i="17" a="1"/>
  <c r="O17" i="17" s="1"/>
  <c r="M18" i="17" a="1"/>
  <c r="M18" i="17" s="1"/>
  <c r="K19" i="17" a="1"/>
  <c r="K19" i="17" s="1"/>
  <c r="I20" i="17" a="1"/>
  <c r="I20" i="17" s="1"/>
  <c r="G21" i="17" a="1"/>
  <c r="G21" i="17" s="1"/>
  <c r="O21" i="17" a="1"/>
  <c r="O21" i="17" s="1"/>
  <c r="M22" i="17" a="1"/>
  <c r="M22" i="17" s="1"/>
  <c r="K23" i="17" a="1"/>
  <c r="K23" i="17" s="1"/>
  <c r="I24" i="17" a="1"/>
  <c r="I24" i="17" s="1"/>
  <c r="G25" i="17" a="1"/>
  <c r="G25" i="17" s="1"/>
  <c r="O25" i="17" a="1"/>
  <c r="O25" i="17" s="1"/>
  <c r="M26" i="17" a="1"/>
  <c r="M26" i="17" s="1"/>
  <c r="K27" i="17" a="1"/>
  <c r="K27" i="17" s="1"/>
  <c r="I28" i="17" a="1"/>
  <c r="I28" i="17" s="1"/>
  <c r="G29" i="17" a="1"/>
  <c r="G29" i="17" s="1"/>
  <c r="O29" i="17" a="1"/>
  <c r="O29" i="17" s="1"/>
  <c r="J8" i="17" a="1"/>
  <c r="J8" i="17" s="1"/>
  <c r="N8" i="17" a="1"/>
  <c r="N8" i="17" s="1"/>
  <c r="H9" i="17" a="1"/>
  <c r="H9" i="17" s="1"/>
  <c r="L9" i="17" a="1"/>
  <c r="L9" i="17" s="1"/>
  <c r="P9" i="17" a="1"/>
  <c r="P9" i="17" s="1"/>
  <c r="J10" i="17" a="1"/>
  <c r="J10" i="17" s="1"/>
  <c r="N10" i="17" a="1"/>
  <c r="N10" i="17" s="1"/>
  <c r="H11" i="17" a="1"/>
  <c r="H11" i="17" s="1"/>
  <c r="L11" i="17" a="1"/>
  <c r="L11" i="17" s="1"/>
  <c r="P11" i="17" a="1"/>
  <c r="P11" i="17" s="1"/>
  <c r="J12" i="17" a="1"/>
  <c r="J12" i="17" s="1"/>
  <c r="N12" i="17" a="1"/>
  <c r="N12" i="17" s="1"/>
  <c r="H13" i="17" a="1"/>
  <c r="H13" i="17" s="1"/>
  <c r="L13" i="17" a="1"/>
  <c r="L13" i="17" s="1"/>
  <c r="P13" i="17" a="1"/>
  <c r="P13" i="17" s="1"/>
  <c r="J14" i="17" a="1"/>
  <c r="J14" i="17" s="1"/>
  <c r="N14" i="17" a="1"/>
  <c r="N14" i="17" s="1"/>
  <c r="H15" i="17" a="1"/>
  <c r="H15" i="17" s="1"/>
  <c r="L15" i="17" a="1"/>
  <c r="L15" i="17" s="1"/>
  <c r="P15" i="17" a="1"/>
  <c r="P15" i="17" s="1"/>
  <c r="J16" i="17" a="1"/>
  <c r="J16" i="17" s="1"/>
  <c r="N16" i="17" a="1"/>
  <c r="N16" i="17" s="1"/>
  <c r="H17" i="17" a="1"/>
  <c r="H17" i="17" s="1"/>
  <c r="L17" i="17" a="1"/>
  <c r="L17" i="17" s="1"/>
  <c r="P17" i="17" a="1"/>
  <c r="P17" i="17" s="1"/>
  <c r="J18" i="17" a="1"/>
  <c r="J18" i="17" s="1"/>
  <c r="N18" i="17" a="1"/>
  <c r="N18" i="17" s="1"/>
  <c r="H19" i="17" a="1"/>
  <c r="H19" i="17" s="1"/>
  <c r="P30" i="17" a="1"/>
  <c r="P30" i="17" s="1"/>
  <c r="H21" i="17" a="1"/>
  <c r="H21" i="17" s="1"/>
  <c r="N22" i="17" a="1"/>
  <c r="N22" i="17" s="1"/>
  <c r="J24" i="17" a="1"/>
  <c r="J24" i="17" s="1"/>
  <c r="P25" i="17" a="1"/>
  <c r="P25" i="17" s="1"/>
  <c r="L27" i="17" a="1"/>
  <c r="L27" i="17" s="1"/>
  <c r="H29" i="17" a="1"/>
  <c r="H29" i="17" s="1"/>
  <c r="K30" i="17" a="1"/>
  <c r="K30" i="17" s="1"/>
  <c r="O20" i="17" a="1"/>
  <c r="O20" i="17" s="1"/>
  <c r="G28" i="17" a="1"/>
  <c r="G28" i="17" s="1"/>
  <c r="M29" i="17" a="1"/>
  <c r="M29" i="17" s="1"/>
  <c r="L19" i="17" a="1"/>
  <c r="L19" i="17" s="1"/>
  <c r="J20" i="17" a="1"/>
  <c r="J20" i="17" s="1"/>
  <c r="P21" i="17" a="1"/>
  <c r="P21" i="17" s="1"/>
  <c r="L23" i="17" a="1"/>
  <c r="L23" i="17" s="1"/>
  <c r="H25" i="17" a="1"/>
  <c r="H25" i="17" s="1"/>
  <c r="N26" i="17" a="1"/>
  <c r="N26" i="17" s="1"/>
  <c r="J28" i="17" a="1"/>
  <c r="J28" i="17" s="1"/>
  <c r="P29" i="17" a="1"/>
  <c r="P29" i="17" s="1"/>
  <c r="M21" i="17" a="1"/>
  <c r="M21" i="17" s="1"/>
  <c r="O28" i="17" a="1"/>
  <c r="O28" i="17" s="1"/>
  <c r="L30" i="17" a="1"/>
  <c r="L30" i="17" s="1"/>
  <c r="I21" i="17" a="1"/>
  <c r="I21" i="17" s="1"/>
  <c r="O22" i="17" a="1"/>
  <c r="O22" i="17" s="1"/>
  <c r="K24" i="17" a="1"/>
  <c r="K24" i="17" s="1"/>
  <c r="I25" i="17" a="1"/>
  <c r="I25" i="17" s="1"/>
  <c r="O26" i="17" a="1"/>
  <c r="O26" i="17" s="1"/>
  <c r="K28" i="17" a="1"/>
  <c r="K28" i="17" s="1"/>
  <c r="G30" i="17" a="1"/>
  <c r="G30" i="17" s="1"/>
  <c r="G20" i="17" a="1"/>
  <c r="G20" i="17" s="1"/>
  <c r="M25" i="17" a="1"/>
  <c r="M25" i="17" s="1"/>
  <c r="M19" i="17" a="1"/>
  <c r="M19" i="17" s="1"/>
  <c r="K20" i="17" a="1"/>
  <c r="K20" i="17" s="1"/>
  <c r="G22" i="17" a="1"/>
  <c r="G22" i="17" s="1"/>
  <c r="M23" i="17" a="1"/>
  <c r="M23" i="17" s="1"/>
  <c r="G26" i="17" a="1"/>
  <c r="G26" i="17" s="1"/>
  <c r="M27" i="17" a="1"/>
  <c r="M27" i="17" s="1"/>
  <c r="I29" i="17" a="1"/>
  <c r="I29" i="17" s="1"/>
  <c r="M30" i="17" a="1"/>
  <c r="M30" i="17" s="1"/>
  <c r="I23" i="17" a="1"/>
  <c r="I23" i="17" s="1"/>
  <c r="K26" i="17" a="1"/>
  <c r="K26" i="17" s="1"/>
  <c r="J30" i="17" a="1"/>
  <c r="J30" i="17" s="1"/>
  <c r="H30" i="17" a="1"/>
  <c r="H30" i="17" s="1"/>
  <c r="L21" i="17" a="1"/>
  <c r="L21" i="17" s="1"/>
  <c r="H23" i="17" a="1"/>
  <c r="H23" i="17" s="1"/>
  <c r="N24" i="17" a="1"/>
  <c r="N24" i="17" s="1"/>
  <c r="J26" i="17" a="1"/>
  <c r="J26" i="17" s="1"/>
  <c r="P27" i="17" a="1"/>
  <c r="P27" i="17" s="1"/>
  <c r="L29" i="17" a="1"/>
  <c r="L29" i="17" s="1"/>
  <c r="N30" i="17" a="1"/>
  <c r="N30" i="17" s="1"/>
  <c r="K22" i="17" a="1"/>
  <c r="K22" i="17" s="1"/>
  <c r="O24" i="17" a="1"/>
  <c r="O24" i="17" s="1"/>
  <c r="O30" i="17" a="1"/>
  <c r="O30" i="17" s="1"/>
  <c r="P19" i="17" a="1"/>
  <c r="P19" i="17" s="1"/>
  <c r="N20" i="17" a="1"/>
  <c r="N20" i="17" s="1"/>
  <c r="J22" i="17" a="1"/>
  <c r="J22" i="17" s="1"/>
  <c r="P23" i="17" a="1"/>
  <c r="P23" i="17" s="1"/>
  <c r="L25" i="17" a="1"/>
  <c r="L25" i="17" s="1"/>
  <c r="H27" i="17" a="1"/>
  <c r="H27" i="17" s="1"/>
  <c r="N28" i="17" a="1"/>
  <c r="N28" i="17" s="1"/>
  <c r="I30" i="17" a="1"/>
  <c r="I30" i="17" s="1"/>
  <c r="G24" i="17" a="1"/>
  <c r="G24" i="17" s="1"/>
  <c r="I27" i="17" a="1"/>
  <c r="I27" i="17" s="1"/>
  <c r="L3" i="17" a="1"/>
  <c r="L3" i="17" s="1"/>
  <c r="P3" i="17" a="1"/>
  <c r="P3" i="17" s="1"/>
  <c r="O4" i="17" a="1"/>
  <c r="O4" i="17" s="1"/>
  <c r="N5" i="17" a="1"/>
  <c r="N5" i="17" s="1"/>
  <c r="L4" i="17" a="1"/>
  <c r="L4" i="17" s="1"/>
  <c r="P4" i="17" a="1"/>
  <c r="P4" i="17" s="1"/>
  <c r="N6" i="17" a="1"/>
  <c r="N6" i="17" s="1"/>
  <c r="M6" i="17" a="1"/>
  <c r="M6" i="17" s="1"/>
  <c r="M3" i="17" a="1"/>
  <c r="M3" i="17" s="1"/>
  <c r="O5" i="17" a="1"/>
  <c r="O5" i="17" s="1"/>
  <c r="M7" i="17" a="1"/>
  <c r="M7" i="17" s="1"/>
  <c r="M4" i="17" a="1"/>
  <c r="M4" i="17" s="1"/>
  <c r="L5" i="17" a="1"/>
  <c r="L5" i="17" s="1"/>
  <c r="O6" i="17" a="1"/>
  <c r="O6" i="17" s="1"/>
  <c r="P7" i="17" a="1"/>
  <c r="P7" i="17" s="1"/>
  <c r="N3" i="17" a="1"/>
  <c r="N3" i="17" s="1"/>
  <c r="P5" i="17" a="1"/>
  <c r="P5" i="17" s="1"/>
  <c r="N7" i="17" a="1"/>
  <c r="N7" i="17" s="1"/>
  <c r="N4" i="17" a="1"/>
  <c r="N4" i="17" s="1"/>
  <c r="M5" i="17" a="1"/>
  <c r="M5" i="17" s="1"/>
  <c r="P6" i="17" a="1"/>
  <c r="P6" i="17" s="1"/>
  <c r="L7" i="17" a="1"/>
  <c r="L7" i="17" s="1"/>
  <c r="O3" i="17" a="1"/>
  <c r="O3" i="17" s="1"/>
  <c r="L6" i="17" a="1"/>
  <c r="L6" i="17" s="1"/>
  <c r="O7" i="17" a="1"/>
  <c r="O7" i="17" s="1"/>
  <c r="L2" i="17" a="1"/>
  <c r="L2" i="17" s="1"/>
  <c r="M2" i="17" a="1"/>
  <c r="M2" i="17" s="1"/>
  <c r="P2" i="17" a="1"/>
  <c r="P2" i="17" s="1"/>
  <c r="N2" i="17" a="1"/>
  <c r="N2" i="17" s="1"/>
  <c r="O2" i="17" a="1"/>
  <c r="O2" i="17" s="1"/>
  <c r="A40" i="25" a="1"/>
  <c r="A40" i="25" s="1"/>
  <c r="K40" i="25" a="1"/>
  <c r="K40" i="25" s="1"/>
  <c r="F10" i="25" a="1"/>
  <c r="F10" i="25" s="1"/>
  <c r="K10" i="25" a="1"/>
  <c r="K10" i="25" s="1"/>
  <c r="A30" i="25" a="1"/>
  <c r="A30" i="25" s="1"/>
  <c r="K30" i="25" a="1"/>
  <c r="K30" i="25" s="1"/>
  <c r="F40" i="25" a="1"/>
  <c r="F40" i="25" s="1"/>
  <c r="F30" i="25" a="1"/>
  <c r="F30" i="25" s="1"/>
  <c r="F20" i="25" a="1"/>
  <c r="F20" i="25" s="1"/>
  <c r="F26" i="25"/>
  <c r="F27" i="25" s="1"/>
  <c r="K20" i="25" a="1"/>
  <c r="K20" i="25" s="1"/>
  <c r="A20" i="25" a="1"/>
  <c r="A20" i="25" s="1"/>
  <c r="K38" i="25" a="1"/>
  <c r="K38" i="25" s="1"/>
  <c r="K39" i="25" a="1"/>
  <c r="K39" i="25" s="1"/>
  <c r="F39" i="25" a="1"/>
  <c r="F39" i="25" s="1"/>
  <c r="F38" i="25" a="1"/>
  <c r="F38" i="25" s="1"/>
  <c r="A39" i="25" a="1"/>
  <c r="A39" i="25" s="1"/>
  <c r="A38" i="25" a="1"/>
  <c r="A38" i="25" s="1"/>
  <c r="K29" i="25" a="1"/>
  <c r="K29" i="25" s="1"/>
  <c r="K28" i="25" a="1"/>
  <c r="K28" i="25" s="1"/>
  <c r="F29" i="25" a="1"/>
  <c r="F29" i="25" s="1"/>
  <c r="F28" i="25" a="1"/>
  <c r="F28" i="25" s="1"/>
  <c r="A29" i="25" a="1"/>
  <c r="A29" i="25" s="1"/>
  <c r="A28" i="25" a="1"/>
  <c r="A28" i="25" s="1"/>
  <c r="K19" i="25" a="1"/>
  <c r="K19" i="25" s="1"/>
  <c r="K18" i="25" a="1"/>
  <c r="K18" i="25" s="1"/>
  <c r="F19" i="25" a="1"/>
  <c r="F19" i="25" s="1"/>
  <c r="F18" i="25" a="1"/>
  <c r="F18" i="25" s="1"/>
  <c r="A19" i="25" a="1"/>
  <c r="A19" i="25" s="1"/>
  <c r="A18" i="25" a="1"/>
  <c r="A18" i="25" s="1"/>
  <c r="K9" i="25" a="1"/>
  <c r="K9" i="25" s="1"/>
  <c r="K8" i="25" a="1"/>
  <c r="K8" i="25" s="1"/>
  <c r="F9" i="25" a="1"/>
  <c r="F9" i="25" s="1"/>
  <c r="F8" i="25" a="1"/>
  <c r="F8" i="25" s="1"/>
  <c r="A10" i="25" a="1"/>
  <c r="A10" i="25" s="1"/>
  <c r="A8" i="25" a="1"/>
  <c r="A8" i="25" s="1"/>
  <c r="A9" i="25" a="1"/>
  <c r="A9" i="25" s="1"/>
  <c r="A6" i="25" a="1"/>
  <c r="A6" i="25" s="1"/>
  <c r="A7" i="25" s="1"/>
  <c r="L10" i="13"/>
  <c r="C2" i="11" a="1"/>
  <c r="C2" i="11" s="1"/>
  <c r="C1" i="11" a="1"/>
  <c r="C1" i="11" s="1"/>
  <c r="L36" i="13"/>
  <c r="L64" i="13"/>
  <c r="L84" i="13"/>
  <c r="L66" i="13"/>
  <c r="L68" i="13"/>
  <c r="L69" i="13"/>
  <c r="L70" i="13"/>
  <c r="L61" i="13"/>
  <c r="N24" i="33" l="1"/>
  <c r="N30" i="33"/>
  <c r="N27" i="33"/>
  <c r="N21" i="33"/>
  <c r="N18" i="33"/>
  <c r="N30" i="27"/>
  <c r="N27" i="27"/>
  <c r="N21" i="27"/>
  <c r="N24" i="27"/>
  <c r="N18" i="27"/>
  <c r="L46" i="13"/>
  <c r="L63" i="13"/>
  <c r="L62" i="13"/>
  <c r="L65" i="13"/>
  <c r="L52" i="13"/>
  <c r="L80" i="13"/>
  <c r="L82" i="13"/>
  <c r="L37" i="13"/>
  <c r="L67" i="13"/>
  <c r="L38" i="13"/>
  <c r="L81" i="13"/>
  <c r="L34" i="13"/>
  <c r="L35" i="13"/>
  <c r="L50" i="13"/>
  <c r="N6" i="13"/>
  <c r="N7" i="13" l="1"/>
  <c r="N4" i="13"/>
  <c r="L33" i="13"/>
  <c r="N5" i="13"/>
  <c r="O6" i="13"/>
  <c r="O7" i="13" s="1"/>
  <c r="M26" i="25" l="1" a="1"/>
  <c r="M26" i="25" s="1"/>
  <c r="M6" i="25" a="1"/>
  <c r="M6" i="25" s="1"/>
  <c r="H26" i="25" a="1"/>
  <c r="H26" i="25" s="1"/>
  <c r="H36" i="25" a="1"/>
  <c r="H36" i="25" s="1"/>
  <c r="H6" i="25" a="1"/>
  <c r="H6" i="25" s="1"/>
  <c r="C36" i="25" a="1"/>
  <c r="C36" i="25" s="1"/>
  <c r="M16" i="25" a="1"/>
  <c r="M16" i="25" s="1"/>
  <c r="M36" i="25" a="1"/>
  <c r="M36" i="25" s="1"/>
  <c r="C16" i="25" a="1"/>
  <c r="C16" i="25" s="1"/>
  <c r="H16" i="25" a="1"/>
  <c r="H16" i="25" s="1"/>
  <c r="C26" i="25" a="1"/>
  <c r="C26" i="25" s="1"/>
  <c r="C6" i="25" a="1"/>
  <c r="C6" i="25" s="1"/>
  <c r="L36" i="25" a="1"/>
  <c r="B26" i="25" a="1"/>
  <c r="L26" i="25" a="1"/>
  <c r="L26" i="25" s="1"/>
  <c r="T14" i="17" a="1"/>
  <c r="T14" i="17" s="1"/>
  <c r="H38" i="25" a="1"/>
  <c r="T3" i="17" a="1"/>
  <c r="C38" i="25" a="1"/>
  <c r="C38" i="25" s="1"/>
  <c r="T11" i="17" a="1"/>
  <c r="T11" i="17" s="1"/>
  <c r="M28" i="25" a="1"/>
  <c r="T10" i="17" a="1"/>
  <c r="C18" i="25" a="1"/>
  <c r="C18" i="25" s="1"/>
  <c r="G16" i="25" a="1"/>
  <c r="G16" i="25" s="1"/>
  <c r="T8" i="17" a="1"/>
  <c r="F4" i="17" a="1"/>
  <c r="L16" i="25" a="1"/>
  <c r="L16" i="25" s="1"/>
  <c r="G26" i="25" a="1"/>
  <c r="G26" i="25" s="1"/>
  <c r="T9" i="17" a="1"/>
  <c r="C28" i="25" a="1"/>
  <c r="T13" i="17" a="1"/>
  <c r="T13" i="17" s="1"/>
  <c r="M18" i="25" a="1"/>
  <c r="M18" i="25" s="1"/>
  <c r="T6" i="17" a="1"/>
  <c r="T6" i="17" s="1"/>
  <c r="H18" i="25" a="1"/>
  <c r="F2" i="17" a="1"/>
  <c r="F2" i="17" s="1"/>
  <c r="L6" i="25" a="1"/>
  <c r="L6" i="25" s="1"/>
  <c r="B16" i="25" a="1"/>
  <c r="F3" i="17" a="1"/>
  <c r="F7" i="17" a="1"/>
  <c r="F7" i="17" s="1"/>
  <c r="H28" i="25" a="1"/>
  <c r="H28" i="25" s="1"/>
  <c r="B36" i="25" a="1"/>
  <c r="T7" i="17" a="1"/>
  <c r="M8" i="25" a="1"/>
  <c r="M8" i="25" s="1"/>
  <c r="F5" i="17" a="1"/>
  <c r="F5" i="17" s="1"/>
  <c r="H8" i="25" a="1"/>
  <c r="F6" i="17" a="1"/>
  <c r="T2" i="17" a="1"/>
  <c r="T2" i="17" s="1"/>
  <c r="M38" i="25" a="1"/>
  <c r="M38" i="25" s="1"/>
  <c r="G6" i="25" a="1"/>
  <c r="G36" i="25" a="1"/>
  <c r="T4" i="17" a="1"/>
  <c r="T4" i="17" s="1"/>
  <c r="T12" i="17" a="1"/>
  <c r="T12" i="17" s="1"/>
  <c r="T5" i="17" a="1"/>
  <c r="T5" i="17" s="1"/>
  <c r="F4" i="17"/>
  <c r="T7" i="17"/>
  <c r="T8" i="17"/>
  <c r="F3" i="17"/>
  <c r="T3" i="17"/>
  <c r="F6" i="17"/>
  <c r="T10" i="17"/>
  <c r="T9" i="17"/>
  <c r="B16" i="25"/>
  <c r="B26" i="25"/>
  <c r="L36" i="25"/>
  <c r="H38" i="25"/>
  <c r="G6" i="25"/>
  <c r="M28" i="25"/>
  <c r="H18" i="25"/>
  <c r="C28" i="25"/>
  <c r="G36" i="25"/>
  <c r="H8" i="25"/>
  <c r="B36" i="25"/>
  <c r="C8" i="25" a="1"/>
  <c r="C8" i="25" s="1"/>
  <c r="B6" i="25" a="1"/>
  <c r="B6" i="25" s="1"/>
  <c r="C6" i="11"/>
  <c r="C9" i="11"/>
  <c r="P6" i="13"/>
  <c r="P7" i="13" s="1"/>
  <c r="N9" i="27" l="1"/>
  <c r="N9" i="33"/>
  <c r="Q6" i="13"/>
  <c r="Q7" i="13" s="1"/>
  <c r="R6" i="13" l="1"/>
  <c r="R7" i="13" s="1"/>
  <c r="S6" i="13" l="1"/>
  <c r="S7" i="13" s="1"/>
  <c r="T6" i="13" l="1"/>
  <c r="T7" i="13" s="1"/>
  <c r="U6" i="13" l="1"/>
  <c r="U7" i="13" s="1"/>
  <c r="U4" i="13" l="1"/>
  <c r="V6" i="13"/>
  <c r="V7" i="13" s="1"/>
  <c r="U5" i="13"/>
  <c r="W6" i="13" l="1"/>
  <c r="W7" i="13" s="1"/>
  <c r="X6" i="13" l="1"/>
  <c r="X7" i="13" s="1"/>
  <c r="Y6" i="13" l="1"/>
  <c r="Y7" i="13" s="1"/>
  <c r="Z6" i="13" l="1"/>
  <c r="Z7" i="13" s="1"/>
  <c r="AA6" i="13" l="1"/>
  <c r="AA7" i="13" s="1"/>
  <c r="AB6" i="13" l="1"/>
  <c r="AB7" i="13" s="1"/>
  <c r="AB4" i="13" l="1"/>
  <c r="AC6" i="13"/>
  <c r="AC7" i="13" s="1"/>
  <c r="AB5" i="13"/>
  <c r="AD6" i="13" l="1"/>
  <c r="AD7" i="13" s="1"/>
  <c r="AE6" i="13" l="1"/>
  <c r="AE7" i="13" s="1"/>
  <c r="AF6" i="13" l="1"/>
  <c r="AF7" i="13" s="1"/>
  <c r="AG6" i="13" l="1"/>
  <c r="AG7" i="13" s="1"/>
  <c r="AH6" i="13" l="1"/>
  <c r="AH7" i="13" s="1"/>
  <c r="AI6" i="13" l="1"/>
  <c r="AI7" i="13" s="1"/>
  <c r="AI4" i="13" l="1"/>
  <c r="AI5" i="13"/>
  <c r="AJ6" i="13"/>
  <c r="AJ7" i="13" s="1"/>
  <c r="AK6" i="13" l="1"/>
  <c r="AK7" i="13" s="1"/>
  <c r="AL6" i="13" l="1"/>
  <c r="AL7" i="13" s="1"/>
  <c r="AM6" i="13" l="1"/>
  <c r="AM7" i="13" s="1"/>
  <c r="AN6" i="13" l="1"/>
  <c r="AN7" i="13" s="1"/>
  <c r="AO6" i="13" l="1"/>
  <c r="AO7" i="13" s="1"/>
  <c r="AP6" i="13" l="1"/>
  <c r="AP7" i="13" s="1"/>
  <c r="AP4" i="13" l="1"/>
  <c r="AP5" i="13"/>
  <c r="AQ6" i="13"/>
  <c r="AQ7" i="13" s="1"/>
  <c r="AR6" i="13" l="1"/>
  <c r="AR7" i="13" s="1"/>
  <c r="AS6" i="13" l="1"/>
  <c r="AS7" i="13" s="1"/>
  <c r="AT6" i="13" l="1"/>
  <c r="AT7" i="13" s="1"/>
  <c r="AU6" i="13" l="1"/>
  <c r="AU7" i="13" s="1"/>
  <c r="AV6" i="13" l="1"/>
  <c r="AV7" i="13" s="1"/>
  <c r="AW6" i="13" l="1"/>
  <c r="AW7" i="13" s="1"/>
  <c r="AW4" i="13" l="1"/>
  <c r="AX6" i="13"/>
  <c r="AX7" i="13" s="1"/>
  <c r="AW5" i="13"/>
  <c r="AY6" i="13" l="1"/>
  <c r="AY7" i="13" s="1"/>
  <c r="AZ6" i="13" l="1"/>
  <c r="AZ7" i="13" s="1"/>
  <c r="BA6" i="13" l="1"/>
  <c r="BA7" i="13" s="1"/>
  <c r="BB6" i="13" l="1"/>
  <c r="BB7" i="13" s="1"/>
  <c r="BC6" i="13" l="1"/>
  <c r="BC7" i="13" s="1"/>
  <c r="BD6" i="13" l="1"/>
  <c r="BD7" i="13" s="1"/>
  <c r="BD4" i="13" l="1"/>
  <c r="BE6" i="13"/>
  <c r="BE7" i="13" s="1"/>
  <c r="BD5" i="13"/>
  <c r="BF6" i="13" l="1"/>
  <c r="BF7" i="13" s="1"/>
  <c r="BG6" i="13" l="1"/>
  <c r="BG7" i="13" s="1"/>
  <c r="BH6" i="13" l="1"/>
  <c r="BH7" i="13" s="1"/>
  <c r="BI6" i="13" l="1"/>
  <c r="BI7" i="13" s="1"/>
  <c r="BJ6" i="13" l="1"/>
  <c r="BJ7" i="13" s="1"/>
  <c r="BK6" i="13" l="1"/>
  <c r="BK7" i="13" s="1"/>
  <c r="BK4" i="13" l="1"/>
  <c r="BK5" i="13"/>
  <c r="BL6" i="13"/>
  <c r="BL7" i="13" s="1"/>
  <c r="BM6" i="13" l="1"/>
  <c r="BM7" i="13" s="1"/>
  <c r="BN6" i="13" l="1"/>
  <c r="BN7" i="13" s="1"/>
  <c r="BO6" i="13" l="1"/>
  <c r="BO7" i="13" s="1"/>
  <c r="BP6" i="13" l="1"/>
  <c r="BP7" i="13" s="1"/>
  <c r="BQ6" i="13" l="1"/>
  <c r="BQ7" i="13" s="1"/>
</calcChain>
</file>

<file path=xl/sharedStrings.xml><?xml version="1.0" encoding="utf-8"?>
<sst xmlns="http://schemas.openxmlformats.org/spreadsheetml/2006/main" count="786" uniqueCount="299">
  <si>
    <t>Бюджетный календарь 2018</t>
  </si>
  <si>
    <t>Действие</t>
  </si>
  <si>
    <t>Начало</t>
  </si>
  <si>
    <t>Ответственный</t>
  </si>
  <si>
    <t>Департамент экономического развития Брянской области</t>
  </si>
  <si>
    <t>Главные распорядители бюджетных средств</t>
  </si>
  <si>
    <t>Департамент финансов Брянской области</t>
  </si>
  <si>
    <t>Часть</t>
  </si>
  <si>
    <t>Окончание</t>
  </si>
  <si>
    <t>НОРМАТИВНЫХ ПРАВОВЫХ АКТОВ НА КОНТРОЛЕ</t>
  </si>
  <si>
    <t>ДНЕЙ НА ИСПОЛНЕНИЕ ПЛАНА ТЕКУЩЕГО ГОДА</t>
  </si>
  <si>
    <t>ПЛАНА ИСПОЛНЕНО НА ТЕКУЩУЮ ДАТУ</t>
  </si>
  <si>
    <t>№</t>
  </si>
  <si>
    <t>Основание (НПА)</t>
  </si>
  <si>
    <t>Дней</t>
  </si>
  <si>
    <t>%</t>
  </si>
  <si>
    <t>Рабочих дней</t>
  </si>
  <si>
    <t>Категория</t>
  </si>
  <si>
    <t>Номер недели</t>
  </si>
  <si>
    <t>Департамент строительства и архитектуры Брянской области</t>
  </si>
  <si>
    <t>Главные распорядители средств областного бюджета, осуществляющие финансовое обеспечение деятельности государственных учреждений Брянской области</t>
  </si>
  <si>
    <t>Формирование проекта закона о бюджете</t>
  </si>
  <si>
    <t>Департамент сельского хозяйства Брянской области</t>
  </si>
  <si>
    <t>Администрация Губернатора Брянской области и Правительства Брянской области</t>
  </si>
  <si>
    <t>Row Labels</t>
  </si>
  <si>
    <t>Прогноз индексов роста потребительских цен на 2017 год, на 2018 год и на плановый период 2019 и 2020 годов</t>
  </si>
  <si>
    <t>Сведения о стоимости основных фондов на 1 января 2017 года и на 1 апреля 2017 года в разрезе муниципальных образований (городских округов, муниципальных районов)</t>
  </si>
  <si>
    <t>Результаты оценки потребности в предоставляемых государственных услугах</t>
  </si>
  <si>
    <t xml:space="preserve">Результаты оценки обеспеченности населения региона сетью государственных (муниципальных) учреждений </t>
  </si>
  <si>
    <t>Расчеты ожидаемых поступлений с целью формирования доходной части областного бюджета</t>
  </si>
  <si>
    <t>Предложения о возврате бюджетных кредитов (бюджетных ссуд), предоставленных сельским товаропроизводителям на обеспечение машиностроительной продукцией на основе договоров финансовой аренды (лизинга), полученным по программе «Инженерно-техническое обеспечение АПК Брянской области на 2001 – 2005 годы»</t>
  </si>
  <si>
    <t>Предварительный прогноз социально-экономического развития Брянской области на 2018 – 2020 годы</t>
  </si>
  <si>
    <t>Предложения по формированию перечней субсидий на иные цели, перечней услуг, оказываемых государственными учреждениями на платной основе</t>
  </si>
  <si>
    <t>Обоснования бюджетных ассигнований на очередной финансовый год и плановый период по формам, утвержденным приказом департамента финансов Брянской области от 20.07.2015 № 124 «Об утверждении методики планирования бюджетных ассигнований областного бюджета»</t>
  </si>
  <si>
    <t>Инвентаризация предоставляемых субвенций, субсидий и иных межбюджетных трансфертов из областного бюджета бюджетам муниципальных районов (городских округов), предложения по укрупнению (объединению) субвенций, субсидий, оптимизации предоставления иных межбюджетных трансфертов</t>
  </si>
  <si>
    <t>Проект областной программы приватизации на 2018 год и на плановый период 2019 и 2020 годов</t>
  </si>
  <si>
    <t>Расчеты объемов расходов на 2018-2020 годы: на финансовое обеспечение государственных гарантий реализации прав на получение общедоступного и бесплатного дошкольного образования в образовательных организациях на финансовое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общеобразовательных организациях на предоставление мер социальной поддержки работникам образовательных организаций, работающим в сельских населенных пунктах и поселках городского типа на территории Брянской области на выплату компенсации части родительской платы за присмотр и уход за детьми в образовательных организациях, реализующих образовательную программу дошкольного образования</t>
  </si>
  <si>
    <t>Прогноз темпов роста тарифов на газ, теплоэнергию, электроэнергию, водоснабжение, водоотведение, содержание жилья на 2018 год и на плановый период 2019 и 2020 годов с учетом снижения издержек поставщиков коммунальных услуг</t>
  </si>
  <si>
    <t>Прогноз тарифов на услуги по перевозке пассажиров и экономически обоснованных тарифов по пригородным перевозкам железнодорожного транспорта; прогнозный расчет объема выпадающих доходов организаций железнодорожного транспорта по пригородным перевозкам в результате государственного регулирования тарифов на 2018 год и плановый период 2019 и 2020 годов</t>
  </si>
  <si>
    <t>Прогноз тарифов на услуги по перевозке пассажиров и экономически обоснованных тарифов по межмуниципальным маршрутам регулярных перевозок автомобильным транспортом; прогнозный расчет объема выпадающих доходов организаций автомобильного транспорта по межмуниципальным маршрутам в результате государственного регулирования тарифов на 2018 год и плановый период 2019 и 2020 годов</t>
  </si>
  <si>
    <t>Планы закупок для обеспечения нужд Брянской области на очередной финансовый год и на плановый период</t>
  </si>
  <si>
    <t>Предложения по утверждению нормативов расходов муниципальных образований области, применяемых при формировании проекта областного бюджета в части межбюджетных отношений на 2018 – 2020 годы</t>
  </si>
  <si>
    <t>Проекты нормативных правовых актов об утверждении нормативных затрат на оказание государственными учреждениями Брянской области государственных услуг на 2018 – 2020 годы</t>
  </si>
  <si>
    <t>Проекты законов Брянской области о наделении органов местного самоуправления отдельными государственными полномочиями Брянской области (при необходимости)</t>
  </si>
  <si>
    <t>Прогноз выпадающих в результате предоставления налоговых льгот доходов областного бюджета на 2018 и последующие годы</t>
  </si>
  <si>
    <t>Перечень мероприятий по мобилизационной подготовке экономики Брянской области, планируемых на 2018 – 2020 годы к финансированию из областного бюджета, и сведения о потребности в бюджетных ассигнованиях на мобилизационные расходы на 2018 – 2020 годы</t>
  </si>
  <si>
    <t>Основные направления бюджетной политики и основные направления налоговой политики Брянской области на 2018 год и на плановый период 2019 и 2020 годов</t>
  </si>
  <si>
    <t>Распределение доведенных предельных объемов бюджетного финансирования на 2018 год и на плановый период 2019 и 2020 годов по разделам, подразделам, целевым статьям (государственным программам и непрограммным направлениям деятельности), группам, подгруппам, элементам видов расходов</t>
  </si>
  <si>
    <t>Проекты бюджетных смет расходов с расчетами (обоснованиями) органов государственной власти Брянской области, государственных органов Брянской области, государственных казенных учреждений Брянской области на 2018 - 2020 годы</t>
  </si>
  <si>
    <t>Проекты распределений субсидий бюджетам муниципальных районов и городских округов для формирования проектов местных бюджетов на 2018 – 2020 годы и приложений к закону об областном бюджете на 2018 год и на плановый период 2019 и 2020 годов</t>
  </si>
  <si>
    <t>Проект региональной адресной инвестиционной программы на 2018 год и на плановый период 2019 и 2020 годов</t>
  </si>
  <si>
    <t>Прогноз доходов и расходов бюджета территориального фонда обязательного медицинского страхования Брянской области с расчетами и обоснованиями на 2018 год и плановый период 2019 и 2020 годов</t>
  </si>
  <si>
    <t>Результаты оценки эффективности инвестиционных расходов в соответствии с нормативным правовым актом, регламентирующим вопросы инвестиционной деятельности</t>
  </si>
  <si>
    <t>Проекты нормативных правовых актов о внесении изменений в государственные программы Брянской области на 2014 – 2020 годы</t>
  </si>
  <si>
    <t>Проект бюджета территориального фонда обязательного медицинского страхования Брянской области на 2018 год и на плановый период 2019 и 2020 годов</t>
  </si>
  <si>
    <t>Организация независимой оценки качества оказания услуг организациями в сфере культуры, социального обслуживания, охраны здоровья, образования, физической культуры и спорта на территории Брянской области</t>
  </si>
  <si>
    <t>Государственные задания на оказание государственными учреждениями Брянской области государственных услуг (выполнение работ)</t>
  </si>
  <si>
    <t>Формирование и утверждение государственными учреждениями Брянской области планов финансово-хозяйственной деятельности на 2018 – 2020 годы</t>
  </si>
  <si>
    <t>!</t>
  </si>
  <si>
    <t>Фактический фонд оплаты труда работающих за 2016 год, оценка фонда оплаты труда работающих в 2017 году и его прогноз на 2018 – 2020 годы в разрезе муниципальных образований (городских округов, муниципальных районов, поселений)</t>
  </si>
  <si>
    <t>Данные о фактической прибыли прибыльных предприятий за 2016 год, оценка прибыли прибыльных предприятий на 2017 год и ее прогноз на 2018 – 2020 годы в разрезе муниципальных образований (городских округов, муниципальных районов)</t>
  </si>
  <si>
    <t>отмечать за:</t>
  </si>
  <si>
    <t>Департамент финансов Брянской области, Департамент экономического развития Брянской области</t>
  </si>
  <si>
    <t>Территориальный фонд обязательного медицинского страхования Брянской области</t>
  </si>
  <si>
    <t>Внесение проекта бюджета на очередной финансовый год и на плановый период на рассмотрение Брянской областной Думы</t>
  </si>
  <si>
    <t>!!</t>
  </si>
  <si>
    <t>!!!</t>
  </si>
  <si>
    <t>Сформировать параметры областного бюджета на 2018 год и на плановый период 2019 и 2020 годов</t>
  </si>
  <si>
    <t>Исходная база для формирования межбюджетных отношений с муниципальными образованиями, согласование с органами местного самоуправления муниципальных образований</t>
  </si>
  <si>
    <t>Отчетность с установленной периодичностью</t>
  </si>
  <si>
    <t>Представление реестра расходных обязательств областного бюджета и свода РРО местных бюджетов в Минфин России</t>
  </si>
  <si>
    <t>п.2</t>
  </si>
  <si>
    <t>Информация в Минфин России с целью проведения оценки качества управления региональными финансами</t>
  </si>
  <si>
    <t>Организация и проведение оценки качества финансового менеджмента ГРБС за 2017 год</t>
  </si>
  <si>
    <t>Мониторинг</t>
  </si>
  <si>
    <t>п.1</t>
  </si>
  <si>
    <t>Организация и проведение публичных слушаний по проекту закона о бюджете на очередной финансовый год и на плановый период</t>
  </si>
  <si>
    <t>ст.4</t>
  </si>
  <si>
    <t>Брянская областная Дума</t>
  </si>
  <si>
    <t>Мониторинг качества управления муниципальными финансами (I квартал)</t>
  </si>
  <si>
    <t>Мониторинг качества управления муниципальными финансами (II квартал)</t>
  </si>
  <si>
    <t>Мониторинг качества управления муниципальными финансами (III квартал)</t>
  </si>
  <si>
    <t>Мониторинг качества управления муниципальными финансами (IV квартал, за год)</t>
  </si>
  <si>
    <t>Уплата юридическими лицами налога на прибыль организаций (ежеквартальные авансовые платежи)</t>
  </si>
  <si>
    <t>Налоговый кодекс РФ</t>
  </si>
  <si>
    <t>ст.287 п.1, ст. 289 п.3</t>
  </si>
  <si>
    <t>Налогоплательщики - юридические лица</t>
  </si>
  <si>
    <t>Сроки уплаты основных налогов и сборов</t>
  </si>
  <si>
    <t>Уплата юридическими лицами акцизов на алкогольную продукцию (ежемесячно)</t>
  </si>
  <si>
    <t>ст.204, п.3, п.3.1</t>
  </si>
  <si>
    <t>Уплата юридическими лицами и ИП единого налога на вмененный доход</t>
  </si>
  <si>
    <t>ст.346.32, п.1</t>
  </si>
  <si>
    <t>Налогоплательщики - юридические лица и ИП</t>
  </si>
  <si>
    <t>Уплата юридическими лицами и ИП единого сельскохозяйственного налога</t>
  </si>
  <si>
    <t>ст.346.9 п.2, ст.346.10</t>
  </si>
  <si>
    <t>Уплата юридическими лицами земельного налога</t>
  </si>
  <si>
    <t>ст.397 п.1</t>
  </si>
  <si>
    <t>Уплата физическими лицами земельного налога</t>
  </si>
  <si>
    <t>ст. 397 п.1</t>
  </si>
  <si>
    <t>Налогоплательщики - физические лица</t>
  </si>
  <si>
    <t>Уплата физическими лицами транспортного налога</t>
  </si>
  <si>
    <t>ст.363 п.1</t>
  </si>
  <si>
    <t>Уплата юридическими лицами транспортного налога</t>
  </si>
  <si>
    <t>Уплата юридическими лицами налога на имущество организаций</t>
  </si>
  <si>
    <t>ст.383 п.1,2</t>
  </si>
  <si>
    <t>Уплата физическими лицами налога на имущество физических лиц</t>
  </si>
  <si>
    <t>ст.409 п.1</t>
  </si>
  <si>
    <t>Оценка эффективности предоставленных и планируемых к предоставлению налоговых льгот</t>
  </si>
  <si>
    <t>п.10</t>
  </si>
  <si>
    <t>Count of Действие</t>
  </si>
  <si>
    <t>Составление сводной бюджетной росписи областного бюджета</t>
  </si>
  <si>
    <t>п.2, 3</t>
  </si>
  <si>
    <t>Годовой отчет об исполнении бюджета</t>
  </si>
  <si>
    <t>Представление сводной информации об исполнении региональной адресной инвестиционной программы за 2017 год</t>
  </si>
  <si>
    <t>п.2.3, п.3.1.</t>
  </si>
  <si>
    <t>Представление отчетов о фактическом предоставлении межбюджетных трансфертов из областного бюджета бюджетам муниципальных образований за 2017 год</t>
  </si>
  <si>
    <t>п.2.4., п.3.3.5.</t>
  </si>
  <si>
    <t>п.51</t>
  </si>
  <si>
    <t>Формирование кассового плана областного бюджета на 2018 год</t>
  </si>
  <si>
    <t>Формирование и ведение СБР, кассового плана</t>
  </si>
  <si>
    <t>п.3.1.-3.6</t>
  </si>
  <si>
    <t>Организация и проведение публичных слушаний по проекту отчета об исполнении областного бюджета за 2017 год</t>
  </si>
  <si>
    <t>Внесение проекта закона об исполнении областного бюджета за 2017 год в Брянскую областную Думу</t>
  </si>
  <si>
    <t>п.18</t>
  </si>
  <si>
    <t>п.45</t>
  </si>
  <si>
    <t>Проведение оценки эффективности государственных программ Брянской области за 2017 год</t>
  </si>
  <si>
    <t>Приказ Департамента финансов Брянской области от 16.12.2013 № 165</t>
  </si>
  <si>
    <t>Приказ департамента финансов Брянской области от 30.03.2018 № 49</t>
  </si>
  <si>
    <t>Приказ департамента финансов Брянской области от 27.01.2017 № 17</t>
  </si>
  <si>
    <t>Постановление Правительства Брянской области от 28.10.2013 № 608-п</t>
  </si>
  <si>
    <t>Приказ Минфина России от 03.12.2010 № 552</t>
  </si>
  <si>
    <t>Постановление Правительства Брянской области от 10.10.2016 № 515-п</t>
  </si>
  <si>
    <t>Приказ Минфина России от 31.05.2017 № 82н</t>
  </si>
  <si>
    <t>Постановление Правительства Брянской области от 31.03.2014 № 119-п</t>
  </si>
  <si>
    <t>Постановление Правительства Брянской области от 11.08.2017 № 370-п</t>
  </si>
  <si>
    <t>Закон Брянской области от 28.06.2007 № 93-З</t>
  </si>
  <si>
    <r>
      <t xml:space="preserve">БЮДЖЕТНЫЙ
</t>
    </r>
    <r>
      <rPr>
        <b/>
        <sz val="48"/>
        <color theme="0"/>
        <rFont val="Trebuchet MS"/>
        <family val="2"/>
        <charset val="204"/>
      </rPr>
      <t>КАЛЕНДАРЬ</t>
    </r>
  </si>
  <si>
    <t>ЯНВ.</t>
  </si>
  <si>
    <t>действий:</t>
  </si>
  <si>
    <t>ФЕВ.</t>
  </si>
  <si>
    <t>исполнено:</t>
  </si>
  <si>
    <t>участников:</t>
  </si>
  <si>
    <t>МАР.</t>
  </si>
  <si>
    <t>АПР.</t>
  </si>
  <si>
    <t>МАЙ</t>
  </si>
  <si>
    <t>Май</t>
  </si>
  <si>
    <t>Пн.</t>
  </si>
  <si>
    <t>Вт.</t>
  </si>
  <si>
    <t>Ср.</t>
  </si>
  <si>
    <t>Чт.</t>
  </si>
  <si>
    <t>Пт.</t>
  </si>
  <si>
    <t>Сб.</t>
  </si>
  <si>
    <t>Вск.</t>
  </si>
  <si>
    <t>Янв.</t>
  </si>
  <si>
    <t>Фев.</t>
  </si>
  <si>
    <t>Мар.</t>
  </si>
  <si>
    <t>Апр.</t>
  </si>
  <si>
    <t>Июн.</t>
  </si>
  <si>
    <t>Июл.</t>
  </si>
  <si>
    <t>Авг.</t>
  </si>
  <si>
    <t>Сен.</t>
  </si>
  <si>
    <t>Окт.</t>
  </si>
  <si>
    <t>Ноя.</t>
  </si>
  <si>
    <t>Дек.</t>
  </si>
  <si>
    <t>исполнение этапа БЦ:</t>
  </si>
  <si>
    <t>БЛИЖАЙШИЕ ДЕЙСТВИЯ:</t>
  </si>
  <si>
    <t>выберите этап БЦ:</t>
  </si>
  <si>
    <t>ИЮН.</t>
  </si>
  <si>
    <t>АВГ.</t>
  </si>
  <si>
    <t>ИЮЛ.</t>
  </si>
  <si>
    <t>СЕН.</t>
  </si>
  <si>
    <t>ОКТ.</t>
  </si>
  <si>
    <t>НОЯ.</t>
  </si>
  <si>
    <t>ДЕК.</t>
  </si>
  <si>
    <t>выберите НПА:</t>
  </si>
  <si>
    <t>исполнение НПА:</t>
  </si>
  <si>
    <t>Оценка загруженности 2018 года по исполнению мероприятий бюджетного календаря</t>
  </si>
  <si>
    <r>
      <t xml:space="preserve">График исполнения мероприятий бюджетного календаря
</t>
    </r>
    <r>
      <rPr>
        <b/>
        <sz val="14"/>
        <color theme="1"/>
        <rFont val="Trebuchet MS"/>
        <family val="2"/>
        <charset val="204"/>
      </rPr>
      <t>(действия с ближайшими сроками)</t>
    </r>
  </si>
  <si>
    <r>
      <t xml:space="preserve">Реализация этапов бюджетного цикла </t>
    </r>
    <r>
      <rPr>
        <b/>
        <sz val="14"/>
        <color theme="1"/>
        <rFont val="Trebuchet MS"/>
        <family val="2"/>
        <charset val="204"/>
      </rPr>
      <t>(краткий обзор)</t>
    </r>
  </si>
  <si>
    <r>
      <t xml:space="preserve">Исполнение нормативных правовых актов </t>
    </r>
    <r>
      <rPr>
        <b/>
        <sz val="14"/>
        <color theme="1"/>
        <rFont val="Trebuchet MS"/>
        <family val="2"/>
        <charset val="204"/>
      </rPr>
      <t>(краткий обзор)</t>
    </r>
  </si>
  <si>
    <t>Распоряжение Правительства Брянской области от 18.06.2018 №146-рп</t>
  </si>
  <si>
    <t>Прогноз индексов роста потребительских цен на 2018 год, на 2019 год и на плановый период 2020 и 2021 годов</t>
  </si>
  <si>
    <t>Фактический фонд оплаты труда работающих за 2017 год, оценка фонда оплаты труда работающих в 2018 году и его прогноз на 2019-2021 годы в разрезе муниципальных образований (городских округов, муниципальных районов, поселений)</t>
  </si>
  <si>
    <t>Данные о фактической прибыли прибыльных предприятий за 2017 год, оценка прибыли прибыльных предприятий на 2018 год и ее прогноз на 2019 – 2021 годы в разрезе муниципальных образований (городских округов, муниципальных районов)</t>
  </si>
  <si>
    <t>Сведения о стоимости основных фондов на 1 января 2018 года и на 1 апреля 2018 года в разрезе муниципальных образований (городских округов, муниципальных районов)</t>
  </si>
  <si>
    <t>Обоснования и расчеты бюджетных ассигнований на 2019 – 2021 годы</t>
  </si>
  <si>
    <t>Расчеты и обоснования расходов на финансовое обеспечение деятельности органов государственной власти Брянской области, государственных органов Брянской области на 2019 – 2021 годы</t>
  </si>
  <si>
    <t>Предложения по утверждению нормативов расходов муниципальных образований области, применяемых при формировании проекта областного бюджета в части межбюджетных отношений на 2019 – 2021 годы</t>
  </si>
  <si>
    <t>Проекты бюджетных смет расходов с расчетами (обоснованиями) органов государственной власти Брянской области, государственных органов Брянской области, государственных казенных учреждений Брянской области на 2019 – 2021 годы в соответствии с доведенными предельными объемами бюджетного финансирования на 2019 год и плановый период 2020 и 2021 годов</t>
  </si>
  <si>
    <t>Проекты распределений субсидий бюджетам муниципальных районов и городских округов для формирования приложений к закону об областном бюджете на 2019 год и плановый период 2020 и 2021 годов;</t>
  </si>
  <si>
    <t>Проекты нормативных правовых актов о внесении изменений в государственные программы Брянской области (об утверждении государственных программ Брянской области)</t>
  </si>
  <si>
    <t>Расчеты и прогноз поступлений в областной бюджет, консолидированный бюджет Брянской области по соответствующим видам, подвидам классификации доходов на 2019 год и на плановый период до 2020 и 2021 годы в соответствии с методиками прогнозирования поступлений доходов</t>
  </si>
  <si>
    <t>Прогноз темпов роста тарифов на газ, теплоэнергию, электроэнергию, водоснабжение, водоотведение, содержание жилья на 2019 год и плановый период 2020 и 2021 годов</t>
  </si>
  <si>
    <t>Прогноз тарифов на услуги по перевозке пассажиров и экономически обоснованных тарифов по пригородным перевозкам железнодорожного транспорта; прогнозный расчет объема выпадающих доходов организаций железнодорожного транспорта по пригородным перевозкам в результате государственного регулирования тарифов на 2019 год и плановый период 2020 и 2021 годов</t>
  </si>
  <si>
    <t>Прогноз тарифов на услуги по перевозке пассажиров и экономически обоснованных тарифов по межмуниципальным маршрутам регулярных перевозок автомобильным транспортом; прогнозный расчет объема выпадающих доходов организаций автомобильного транспорта по межмуниципальным маршрутам в результате государственного регулирования тарифов на 2019 год и плановый период 2020 и 2021 годов</t>
  </si>
  <si>
    <t>Предложения о возврате бюджетных кредитов (бюджетных ссуд), предоставленных сельским товаропроизводителям на обеспечение машино-строительной продукцией на основе договоров финансовой аренды (лизинга), полученным по программе «Инженерно-техническое обеспечение АПК Брянской области на 2001 – 2005 годы»</t>
  </si>
  <si>
    <t>Проект областной программы приватизации на 2019 год и плановый период 2020 и 2021 годов</t>
  </si>
  <si>
    <t>Уровень платежей населения в оплате за жилищно-коммунальные услуги и прогноз регионального стандарта максимально допустимой доли собственных расходов граждан на оплату жилья и коммунальных услуг (в процентах от совокупного семейного дохода) на 2019 год</t>
  </si>
  <si>
    <t>Прогнозный расчет объема выпадающих доходов организаций железнодорожного транспорта по пригородным перевозкам в результате государственного регулирования тарифов на 2019 год и плановый период 2020 и 2021 годов</t>
  </si>
  <si>
    <t>Прогнозный расчет объема выпадающих доходов организаций автомобильного транспорта по межмуниципальным маршрутам в результате государственного регулирования тарифов на 2019 год и плановый период 2020 и 2021 годов</t>
  </si>
  <si>
    <t>Прогнозный расчет компенсации потерь транспортных предприятий по обеспечению предоставления равной доступности услуг общественного транспорта для отдельных категорий граждан, оказание мер социальной поддержки, которым относится к ведению Брянской области</t>
  </si>
  <si>
    <t>Прогнозный расчет субсидий юридическим лицам, оказывающим аэропортовые услуги на территории Брянской области</t>
  </si>
  <si>
    <t>Перечень мероприятий по мобилизационной подготовке экономики Брянской области, планируемых на 2019 – 2021 годы к финансированию из областного бюджета, и сведения о потребности в бюджетных ассигнованиях на мобилизационные расходы на 2019 – 2021 годы</t>
  </si>
  <si>
    <t>Данные о наличии жилищного фонда в муниципальной собственности и обслуживаемого жилищного фонда по состоянию на 1 января 2018 года в разрезе муниципальных образований (городских округов, муниципальных районов, городских и сельских поселений)</t>
  </si>
  <si>
    <t>Численность населения (всего, в том числе по возрастным группам) по состоянию на 1 января 2018 года в разрезе муниципальных образований (городских округов, муниципальных районов, городских и сельских поселений)</t>
  </si>
  <si>
    <t>Фактический фонд оплаты труда работающих за 2017 год в разрезе муниципальных образований</t>
  </si>
  <si>
    <t>Численность постоянного населения на 1 января 2018 года в разрезе муниципальных образований</t>
  </si>
  <si>
    <t>Численность работающего населения на 1 января 2018 года в разрезе муниципальных образований</t>
  </si>
  <si>
    <t>Протяженность автомобильных дорог общего пользования местного значения (городских и сельских поселений, муниципальных районов, городских округов) на 1 января 2018 года (км), всего, в том числе с твердым покрытием.</t>
  </si>
  <si>
    <t xml:space="preserve">Данные по сети, штатам и контингентам по состоянию на 1 января 2018 года, прогноз на 2019 – 2021 годы в сферах образования, социальной защиты, культуры, физической культуры и спорта, а также данные по новой сети на 2019 – 2021 годы с расчетами и обоснованиями </t>
  </si>
  <si>
    <t>Данные о размере фактически сложившейся среднемесячной заработной платы с начислениями на нее (без учета материальной помощи к отпуску, выплат по решениям местных органов власти) работников общеобразовательных школ и работников образовательных организаций, реализующих образовательные программы дошкольного образования</t>
  </si>
  <si>
    <t>Предварительные расчеты прогноза налоговых и неналоговых доходов и параметры доходной части бюджетов муниципальных образований на 2019 – 2021 годы</t>
  </si>
  <si>
    <t>Проект региональной адресной инвестиционной программы на 2019 год и плановый период 2020 и 2021 годов, согласованный с курирующими заместителями Губернатора Брянской области и Губернатором Брянской области по форме, утвержденной постановлением Правительства Брянской области, включающий данные по объектам капитального строительства, вновь включаемым в проект региональной адресной инвестиционной программы на очередной финансовый год и плановый период, с указанием сроков строительства, сметной стоимости, наличия проектно-сметной документации с положительным заключением государственной экспертизы, решений о предоставлении земельных участков под строительство</t>
  </si>
  <si>
    <t>Проект бюджета территориального фонда обязательного медицинского страхования Брянской области на 2019 год и плановый период 2020 и 2021 годов, согласованный и оформленный в установленном порядке для внесения на рассмотрение Брянской областной Думы</t>
  </si>
  <si>
    <t>Определить проект доходной части областного и консолидированного бюджетов области на 2019 год и плановый период 2020 и 2021 годов</t>
  </si>
  <si>
    <t>Прогноз выпадающих в результате предоставления налоговых льгот доходов областного бюджета на 2019 и последующие годы с целью включения выпадающих доходов в качестве «налоговых расходов» на реализацию государственных программ Брянской области</t>
  </si>
  <si>
    <t>Предложения по корректировке (прекращению предоставления) налоговых льгот с низкой бюджетной эффективностью</t>
  </si>
  <si>
    <t>Определение исходной базы для формирования межбюджетных отношений с муниципальными образованиями, провести ее согласование с органами местного самоуправления муниципальных образований</t>
  </si>
  <si>
    <t>Определение параметров областного бюджета на 2019 год и плановый период 2020 и 2021 годов;</t>
  </si>
  <si>
    <t>Доведение до главных распорядителей средств областного бюджета основных направлений бюджетной и налоговой политики Брянской области на 2019 год и плановый период 2020 и 2021 годов</t>
  </si>
  <si>
    <t>Доведение до главных распорядителей средств областного бюджета предельных бюджетов главных распорядителей бюджетных средств на 2019 год и плановый период 2020 и 2021 годов</t>
  </si>
  <si>
    <t>Подготовка реестра источников доходов областного бюджета</t>
  </si>
  <si>
    <t>Формирование государственного задания на оказание государственными учреждениями Брянской области государственных услуг (выполнение работ)</t>
  </si>
  <si>
    <t>Организация формирования и утверждения подведомственными государственными учреждениями Брянской области планов финансово-хозяйственной деятельности на 2019 – 2021 годы</t>
  </si>
  <si>
    <t>часть 2.1.</t>
  </si>
  <si>
    <t>пункт 1 части 2.2.</t>
  </si>
  <si>
    <t>пункт 2 части 2.2.</t>
  </si>
  <si>
    <t>пункт 3 части 2.3.</t>
  </si>
  <si>
    <t>часть 2.3.</t>
  </si>
  <si>
    <t>пункт 1 части 3.1.</t>
  </si>
  <si>
    <t>пункт 2 части 3.1.</t>
  </si>
  <si>
    <t>пункт 3 части 3.1.</t>
  </si>
  <si>
    <t>подпункт "а" пункта 4 части 3.1.</t>
  </si>
  <si>
    <t>подпункт "б" пункта 4 части 3.1.</t>
  </si>
  <si>
    <t>пункт 5 части 3.1.</t>
  </si>
  <si>
    <t>часть 3.2.</t>
  </si>
  <si>
    <t>часть 4.2.</t>
  </si>
  <si>
    <t>часть 5.1.</t>
  </si>
  <si>
    <t>часть 5.2.</t>
  </si>
  <si>
    <t>часть 5.3.</t>
  </si>
  <si>
    <t>часть 7.2.</t>
  </si>
  <si>
    <t>пункт 1 части 7.3.</t>
  </si>
  <si>
    <t>пункт 1 части 7.4.</t>
  </si>
  <si>
    <t>часть 7.5.</t>
  </si>
  <si>
    <t>часть 9.1.</t>
  </si>
  <si>
    <t>часть 9.2.</t>
  </si>
  <si>
    <t>часть 9.3.</t>
  </si>
  <si>
    <t>часть 9.5.</t>
  </si>
  <si>
    <t>часть 9.6.</t>
  </si>
  <si>
    <t>часть 9.7.</t>
  </si>
  <si>
    <t>часть 9.8.</t>
  </si>
  <si>
    <t>пункт 1 части 11.1.</t>
  </si>
  <si>
    <t>пункт 2 части 11.1.</t>
  </si>
  <si>
    <t>пункт 9 части 11.1.</t>
  </si>
  <si>
    <t>часть 12.1.</t>
  </si>
  <si>
    <t>часть 13.2.</t>
  </si>
  <si>
    <t>пункт 1 части 16.1.</t>
  </si>
  <si>
    <t>пункт 2 части 16.1.</t>
  </si>
  <si>
    <t>пункт 3 части 16.1.</t>
  </si>
  <si>
    <t>часть 16.2.</t>
  </si>
  <si>
    <t>часть 16.3.</t>
  </si>
  <si>
    <t>пункт "а" части 16.4.</t>
  </si>
  <si>
    <t>пункт "б" части 16.4.</t>
  </si>
  <si>
    <t>пункт 1 части 16.7.</t>
  </si>
  <si>
    <t>пункт 2 части 16.7.</t>
  </si>
  <si>
    <t>часть 16.8.</t>
  </si>
  <si>
    <t>часть 17.2.</t>
  </si>
  <si>
    <t>часть 17.3.</t>
  </si>
  <si>
    <t>Главные администраторы доходов областного бюджета</t>
  </si>
  <si>
    <t xml:space="preserve">Управление имущественных отношений Брянской области </t>
  </si>
  <si>
    <t>Департамент топливно-энергетического комплекса и жилищно-коммунального хозяйства Брянской области</t>
  </si>
  <si>
    <t>Департаменту промышленности, транспорта и связи Брянской области</t>
  </si>
  <si>
    <t>Территориальный орган Федеральной службы государственной статистики по Брянской области</t>
  </si>
  <si>
    <t>Главы администраций муниципальных районов и городских округов</t>
  </si>
  <si>
    <t>Департамент строительства Брянской области</t>
  </si>
  <si>
    <t>ДЕЙСТВИЙ</t>
  </si>
  <si>
    <t xml:space="preserve">Распределение доведенных предельных объемов бюджетного финансирования на 2019 год и плановый период 2020 и 2021 годов по разделам, подразделам, целевым статьям (государственным программам и непрограммным направлениям деятельности), группам, подгруппам, элементам видов расходов </t>
  </si>
  <si>
    <t>Внесение проекта областного бюджета на 2019 год и плановый период 2020 и 2021 годов на рассмотрение Брянской областной Думы</t>
  </si>
  <si>
    <t>Постановление Правительства РФ от 27.12.2016 №1506</t>
  </si>
  <si>
    <t>п.3</t>
  </si>
  <si>
    <t>КОНТРОЛЬНЫЙ СРОК</t>
  </si>
  <si>
    <t>Составление сводной бюджетной росписи областного бюджета на 2018 - 2020 годы</t>
  </si>
  <si>
    <r>
      <rPr>
        <u/>
        <sz val="16"/>
        <color theme="0"/>
        <rFont val="Trebuchet MS"/>
        <family val="2"/>
        <charset val="204"/>
      </rPr>
      <t>Этапы и сроки</t>
    </r>
    <r>
      <rPr>
        <u/>
        <sz val="12"/>
        <color theme="0"/>
        <rFont val="Trebuchet MS"/>
        <family val="2"/>
        <charset val="204"/>
      </rPr>
      <t xml:space="preserve"> (ввод контрольных сроков)</t>
    </r>
  </si>
  <si>
    <r>
      <rPr>
        <u/>
        <sz val="16"/>
        <color theme="0"/>
        <rFont val="Trebuchet MS"/>
        <family val="2"/>
        <charset val="204"/>
      </rPr>
      <t>Burndown</t>
    </r>
    <r>
      <rPr>
        <u/>
        <sz val="12"/>
        <color theme="0"/>
        <rFont val="Trebuchet MS"/>
        <family val="2"/>
        <charset val="204"/>
      </rPr>
      <t xml:space="preserve"> (оценка загруженности)</t>
    </r>
  </si>
  <si>
    <r>
      <rPr>
        <u/>
        <sz val="16"/>
        <color theme="0"/>
        <rFont val="Trebuchet MS"/>
        <family val="2"/>
        <charset val="204"/>
      </rPr>
      <t>Этапы БЦ</t>
    </r>
    <r>
      <rPr>
        <u/>
        <sz val="12"/>
        <color theme="0"/>
        <rFont val="Trebuchet MS"/>
        <family val="2"/>
        <charset val="204"/>
      </rPr>
      <t xml:space="preserve"> (исполнение этапов бюджетного цикла)</t>
    </r>
  </si>
  <si>
    <r>
      <rPr>
        <u/>
        <sz val="16"/>
        <color theme="0"/>
        <rFont val="Trebuchet MS"/>
        <family val="2"/>
        <charset val="204"/>
      </rPr>
      <t>Исполнение НПА</t>
    </r>
    <r>
      <rPr>
        <u/>
        <sz val="12"/>
        <color theme="0"/>
        <rFont val="Trebuchet MS"/>
        <family val="2"/>
        <charset val="204"/>
      </rPr>
      <t xml:space="preserve"> (степень исполнения НПА)</t>
    </r>
  </si>
  <si>
    <r>
      <rPr>
        <u/>
        <sz val="16"/>
        <color theme="0"/>
        <rFont val="Trebuchet MS"/>
        <family val="2"/>
        <charset val="204"/>
      </rPr>
      <t>Timeline</t>
    </r>
    <r>
      <rPr>
        <u/>
        <sz val="12"/>
        <color theme="0"/>
        <rFont val="Trebuchet MS"/>
        <family val="2"/>
        <charset val="204"/>
      </rPr>
      <t xml:space="preserve"> (график таймлайн)</t>
    </r>
  </si>
  <si>
    <t>7 дней</t>
  </si>
  <si>
    <t>Отчет о выполнении условий соглашения о предоставлении дотации на выравнивание бюджетной обеспеченности (ежеквартально)</t>
  </si>
  <si>
    <t>Численность населения, проживающего в населенных пунктах численностью не более 500 человек, в разрезе муниципальных образований</t>
  </si>
  <si>
    <t>Прогноз социально-экономического развития Брянской области на 2019 год и на плановый период 2020 и 2021 годов</t>
  </si>
  <si>
    <t xml:space="preserve">Управление государственного регулирования тарифов Брянской области </t>
  </si>
  <si>
    <t>подпункт "а" пункта 2 части 7.4.</t>
  </si>
  <si>
    <t>подпункт "б" пункта 2 части 7.4.</t>
  </si>
  <si>
    <t>Прогнозный расчет объема расходов бюджетов муниципальных образований на компенсацию выпадающих доходов организаций автомобильного транспорта по муниципальным маршрутам в результате регулирования тарифов на 2019 год и плановый период 2020 и 2021 годов</t>
  </si>
  <si>
    <t>подпункт "в" пункта 2 части 7.4.</t>
  </si>
  <si>
    <t>подпункт "г" пункта 2 части 7.4.</t>
  </si>
  <si>
    <t>подпункт "д" пункта 2 части 7.4.</t>
  </si>
  <si>
    <t>Формирование перечня расходных обязательств муниципальных образований на 2019 год и плановый период 2020 и 2021 годов, возникающих при выполнении полномочий органов местного самоуправления по вопросам местного значения, в целях софинансирования которых предоставляются субсидии из областного бюджета, целевых показателей результативности предоставления субсидий и их значения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</si>
</sst>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64" formatCode="m/d/yyyy\ \(dddd\)"/>
    <numFmt numFmtId="165" formatCode="d\ mmm\ yyyy"/>
    <numFmt numFmtId="166" formatCode="d"/>
    <numFmt numFmtId="167" formatCode="ddd\ m/dd/yy"/>
    <numFmt numFmtId="168" formatCode="d\.mm\.yyyy"/>
    <numFmt numFmtId="169" formatCode="d/mm/yyyy"/>
    <numFmt numFmtId="170" formatCode="0.0%"/>
    <numFmt numFmtId="171" formatCode="dd\.mm\.yyyy"/>
    <numFmt numFmtId="172" formatCode=";;;"/>
  </numFmts>
  <fonts count="49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sz val="10"/>
      <name val="Arial"/>
      <family val="2"/>
      <charset val="204"/>
    </font>
    <font>
      <sz val="10"/>
      <name val="Arial"/>
      <family val="2"/>
    </font>
    <font>
      <sz val="10"/>
      <color theme="1"/>
      <name val="Calibri Light"/>
      <family val="2"/>
      <charset val="204"/>
      <scheme val="major"/>
    </font>
    <font>
      <sz val="12"/>
      <color theme="1"/>
      <name val="Calibri"/>
      <family val="2"/>
      <scheme val="minor"/>
    </font>
    <font>
      <b/>
      <sz val="20"/>
      <color theme="0"/>
      <name val="Trebuchet MS"/>
      <family val="2"/>
      <charset val="204"/>
    </font>
    <font>
      <b/>
      <sz val="48"/>
      <color theme="0"/>
      <name val="Trebuchet MS"/>
      <family val="2"/>
      <charset val="204"/>
    </font>
    <font>
      <sz val="12"/>
      <color theme="1"/>
      <name val="Trebuchet MS"/>
      <family val="2"/>
      <charset val="204"/>
    </font>
    <font>
      <sz val="16"/>
      <color theme="0"/>
      <name val="Trebuchet MS"/>
      <family val="2"/>
      <charset val="204"/>
    </font>
    <font>
      <sz val="12"/>
      <color theme="0"/>
      <name val="Trebuchet MS"/>
      <family val="2"/>
      <charset val="204"/>
    </font>
    <font>
      <u/>
      <sz val="16"/>
      <color theme="0"/>
      <name val="Trebuchet MS"/>
      <family val="2"/>
      <charset val="204"/>
    </font>
    <font>
      <b/>
      <sz val="50"/>
      <color theme="0"/>
      <name val="Trebuchet MS"/>
      <family val="2"/>
      <charset val="204"/>
    </font>
    <font>
      <sz val="18"/>
      <color theme="0"/>
      <name val="Trebuchet MS"/>
      <family val="2"/>
      <charset val="204"/>
    </font>
    <font>
      <sz val="11"/>
      <name val="Trebuchet MS"/>
      <family val="2"/>
      <charset val="204"/>
    </font>
    <font>
      <sz val="15"/>
      <name val="Trebuchet MS"/>
      <family val="2"/>
      <charset val="204"/>
    </font>
    <font>
      <b/>
      <sz val="11"/>
      <color theme="4" tint="-0.249977111117893"/>
      <name val="Trebuchet MS"/>
      <family val="2"/>
      <charset val="204"/>
    </font>
    <font>
      <b/>
      <sz val="15"/>
      <color theme="4" tint="-0.249977111117893"/>
      <name val="Trebuchet MS"/>
      <family val="2"/>
      <charset val="204"/>
    </font>
    <font>
      <b/>
      <sz val="11"/>
      <name val="Trebuchet MS"/>
      <family val="2"/>
      <charset val="204"/>
    </font>
    <font>
      <sz val="11"/>
      <color indexed="55"/>
      <name val="Trebuchet MS"/>
      <family val="2"/>
      <charset val="204"/>
    </font>
    <font>
      <u/>
      <sz val="11"/>
      <color indexed="12"/>
      <name val="Trebuchet MS"/>
      <family val="2"/>
      <charset val="204"/>
    </font>
    <font>
      <b/>
      <sz val="15"/>
      <name val="Trebuchet MS"/>
      <family val="2"/>
      <charset val="204"/>
    </font>
    <font>
      <b/>
      <sz val="11"/>
      <color rgb="FFFC2604"/>
      <name val="Trebuchet MS"/>
      <family val="2"/>
      <charset val="204"/>
    </font>
    <font>
      <sz val="11"/>
      <color rgb="FF000000"/>
      <name val="Trebuchet MS"/>
      <family val="2"/>
      <charset val="204"/>
    </font>
    <font>
      <sz val="15"/>
      <color rgb="FF000000"/>
      <name val="Trebuchet MS"/>
      <family val="2"/>
      <charset val="204"/>
    </font>
    <font>
      <b/>
      <sz val="12"/>
      <color theme="0"/>
      <name val="Trebuchet MS"/>
      <family val="2"/>
      <charset val="204"/>
    </font>
    <font>
      <b/>
      <sz val="18"/>
      <color theme="0"/>
      <name val="Trebuchet MS"/>
      <family val="2"/>
      <charset val="204"/>
    </font>
    <font>
      <b/>
      <sz val="36"/>
      <color rgb="FFBA0001"/>
      <name val="Calibri"/>
      <family val="2"/>
      <charset val="204"/>
    </font>
    <font>
      <sz val="10"/>
      <color theme="0"/>
      <name val="Trebuchet MS"/>
      <family val="2"/>
      <charset val="204"/>
    </font>
    <font>
      <i/>
      <sz val="10"/>
      <color theme="0"/>
      <name val="Trebuchet MS"/>
      <family val="2"/>
      <charset val="204"/>
    </font>
    <font>
      <b/>
      <sz val="10"/>
      <color theme="0"/>
      <name val="Trebuchet MS"/>
      <family val="2"/>
      <charset val="204"/>
    </font>
    <font>
      <i/>
      <sz val="16"/>
      <color theme="0"/>
      <name val="Trebuchet MS"/>
      <family val="2"/>
      <charset val="204"/>
    </font>
    <font>
      <i/>
      <sz val="18"/>
      <color theme="0"/>
      <name val="Trebuchet MS"/>
      <family val="2"/>
      <charset val="204"/>
    </font>
    <font>
      <b/>
      <sz val="20"/>
      <color theme="1"/>
      <name val="Trebuchet MS"/>
      <family val="2"/>
      <charset val="204"/>
    </font>
    <font>
      <sz val="10"/>
      <color theme="1"/>
      <name val="Trebuchet MS"/>
      <family val="2"/>
      <charset val="204"/>
    </font>
    <font>
      <sz val="36"/>
      <color theme="0"/>
      <name val="Trebuchet MS"/>
      <family val="2"/>
      <charset val="204"/>
    </font>
    <font>
      <sz val="48"/>
      <color theme="0"/>
      <name val="Trebuchet MS"/>
      <family val="2"/>
      <charset val="204"/>
    </font>
    <font>
      <b/>
      <sz val="36"/>
      <color theme="0"/>
      <name val="Trebuchet MS"/>
      <family val="2"/>
      <charset val="204"/>
    </font>
    <font>
      <b/>
      <sz val="15"/>
      <color theme="0"/>
      <name val="Trebuchet MS"/>
      <family val="2"/>
      <charset val="204"/>
    </font>
    <font>
      <b/>
      <sz val="40"/>
      <color rgb="FF46B887"/>
      <name val="Trebuchet MS"/>
      <family val="2"/>
      <charset val="204"/>
    </font>
    <font>
      <sz val="12"/>
      <color rgb="FFF8F8F8"/>
      <name val="Trebuchet MS"/>
      <family val="2"/>
      <charset val="204"/>
    </font>
    <font>
      <b/>
      <sz val="18"/>
      <color rgb="FFF8F8F8"/>
      <name val="Trebuchet MS"/>
      <family val="2"/>
      <charset val="204"/>
    </font>
    <font>
      <b/>
      <sz val="16"/>
      <color theme="0"/>
      <name val="Trebuchet MS"/>
      <family val="2"/>
      <charset val="204"/>
    </font>
    <font>
      <b/>
      <sz val="18"/>
      <color rgb="FF010101"/>
      <name val="Trebuchet MS"/>
      <family val="2"/>
      <charset val="204"/>
    </font>
    <font>
      <b/>
      <sz val="18"/>
      <color theme="1"/>
      <name val="Trebuchet MS"/>
      <family val="2"/>
      <charset val="204"/>
    </font>
    <font>
      <b/>
      <sz val="14"/>
      <color theme="1"/>
      <name val="Trebuchet MS"/>
      <family val="2"/>
      <charset val="204"/>
    </font>
    <font>
      <u/>
      <sz val="12"/>
      <color theme="0"/>
      <name val="Trebuchet MS"/>
      <family val="2"/>
      <charset val="204"/>
    </font>
  </fonts>
  <fills count="1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lightUp">
        <bgColor theme="0"/>
      </patternFill>
    </fill>
    <fill>
      <patternFill patternType="solid">
        <fgColor rgb="FF58BF94"/>
        <bgColor indexed="64"/>
      </patternFill>
    </fill>
    <fill>
      <patternFill patternType="solid">
        <fgColor rgb="FFEDEEF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42AC7F"/>
        <bgColor indexed="64"/>
      </patternFill>
    </fill>
    <fill>
      <patternFill patternType="solid">
        <fgColor rgb="FFF8F8F8"/>
        <bgColor indexed="64"/>
      </patternFill>
    </fill>
    <fill>
      <patternFill patternType="solid">
        <fgColor theme="2"/>
        <bgColor indexed="64"/>
      </patternFill>
    </fill>
  </fills>
  <borders count="23">
    <border>
      <left/>
      <right/>
      <top/>
      <bottom/>
      <diagonal/>
    </border>
    <border>
      <left style="medium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thin">
        <color theme="0" tint="-0.24994659260841701"/>
      </left>
      <right style="medium">
        <color theme="0" tint="-0.24994659260841701"/>
      </right>
      <top/>
      <bottom/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 style="medium">
        <color theme="0" tint="-0.34998626667073579"/>
      </bottom>
      <diagonal/>
    </border>
    <border>
      <left style="thin">
        <color theme="0" tint="-0.24994659260841701"/>
      </left>
      <right style="medium">
        <color theme="0" tint="-0.24994659260841701"/>
      </right>
      <top/>
      <bottom style="medium">
        <color theme="0" tint="-0.34998626667073579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rgb="FFEFEFEF"/>
      </top>
      <bottom style="thin">
        <color rgb="FFEFEFEF"/>
      </bottom>
      <diagonal/>
    </border>
    <border>
      <left/>
      <right/>
      <top/>
      <bottom style="thin">
        <color theme="0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/>
      <top/>
      <bottom style="thick">
        <color theme="0"/>
      </bottom>
      <diagonal/>
    </border>
    <border>
      <left/>
      <right/>
      <top style="thick">
        <color theme="0"/>
      </top>
      <bottom/>
      <diagonal/>
    </border>
    <border>
      <left style="thin">
        <color theme="0" tint="-0.499984740745262"/>
      </left>
      <right/>
      <top/>
      <bottom/>
      <diagonal/>
    </border>
    <border>
      <left style="thin">
        <color theme="0" tint="-0.499984740745262"/>
      </left>
      <right/>
      <top/>
      <bottom style="thick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rgb="FF58BF94"/>
      </bottom>
      <diagonal/>
    </border>
    <border>
      <left style="thin">
        <color theme="0" tint="-0.499984740745262"/>
      </left>
      <right/>
      <top/>
      <bottom style="thin">
        <color theme="0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/>
      <right/>
      <top style="thin">
        <color theme="9" tint="0.79998168889431442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5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/>
    <xf numFmtId="0" fontId="48" fillId="0" borderId="0" applyNumberFormat="0" applyFill="0" applyBorder="0" applyAlignment="0" applyProtection="0">
      <alignment vertical="top"/>
      <protection locked="0"/>
    </xf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8" fillId="0" borderId="0" applyNumberFormat="0" applyFill="0" applyBorder="0" applyAlignment="0" applyProtection="0"/>
  </cellStyleXfs>
  <cellXfs count="194">
    <xf numFmtId="0" fontId="0" fillId="0" borderId="0" xfId="0"/>
    <xf numFmtId="0" fontId="10" fillId="6" borderId="0" xfId="0" applyFont="1" applyFill="1"/>
    <xf numFmtId="0" fontId="15" fillId="7" borderId="0" xfId="0" applyFont="1" applyFill="1" applyAlignment="1">
      <alignment vertical="center" wrapText="1"/>
    </xf>
    <xf numFmtId="170" fontId="9" fillId="7" borderId="0" xfId="13" applyNumberFormat="1" applyFont="1" applyFill="1" applyAlignment="1">
      <alignment horizontal="right" vertical="center" wrapText="1" indent="1"/>
    </xf>
    <xf numFmtId="0" fontId="17" fillId="0" borderId="0" xfId="10" applyFont="1" applyAlignment="1" applyProtection="1">
      <alignment vertical="center"/>
    </xf>
    <xf numFmtId="0" fontId="16" fillId="0" borderId="0" xfId="10" applyFont="1" applyAlignment="1" applyProtection="1">
      <alignment vertical="center"/>
    </xf>
    <xf numFmtId="0" fontId="16" fillId="0" borderId="0" xfId="10" applyFont="1" applyFill="1" applyBorder="1" applyAlignment="1" applyProtection="1">
      <alignment vertical="center"/>
    </xf>
    <xf numFmtId="0" fontId="18" fillId="0" borderId="0" xfId="9" applyFont="1" applyFill="1" applyBorder="1" applyAlignment="1" applyProtection="1">
      <alignment vertical="center"/>
    </xf>
    <xf numFmtId="0" fontId="18" fillId="0" borderId="0" xfId="9" applyFont="1" applyFill="1" applyBorder="1" applyAlignment="1" applyProtection="1">
      <alignment horizontal="left" vertical="center"/>
    </xf>
    <xf numFmtId="0" fontId="19" fillId="0" borderId="0" xfId="9" applyFont="1" applyFill="1" applyBorder="1" applyAlignment="1" applyProtection="1">
      <alignment vertical="center"/>
    </xf>
    <xf numFmtId="0" fontId="16" fillId="0" borderId="0" xfId="10" applyNumberFormat="1" applyFont="1" applyAlignment="1" applyProtection="1">
      <alignment horizontal="left" vertical="center"/>
    </xf>
    <xf numFmtId="0" fontId="16" fillId="0" borderId="0" xfId="10" applyNumberFormat="1" applyFont="1" applyAlignment="1" applyProtection="1">
      <alignment vertical="center"/>
    </xf>
    <xf numFmtId="0" fontId="20" fillId="0" borderId="0" xfId="10" applyNumberFormat="1" applyFont="1" applyAlignment="1" applyProtection="1">
      <alignment vertical="center"/>
    </xf>
    <xf numFmtId="0" fontId="21" fillId="0" borderId="0" xfId="10" applyFont="1" applyAlignment="1" applyProtection="1">
      <alignment vertical="center"/>
    </xf>
    <xf numFmtId="0" fontId="16" fillId="3" borderId="0" xfId="10" applyFont="1" applyFill="1" applyBorder="1" applyAlignment="1" applyProtection="1">
      <alignment vertical="center"/>
    </xf>
    <xf numFmtId="0" fontId="16" fillId="0" borderId="0" xfId="10" applyNumberFormat="1" applyFont="1" applyAlignment="1" applyProtection="1">
      <alignment horizontal="center" vertical="center"/>
    </xf>
    <xf numFmtId="0" fontId="20" fillId="0" borderId="0" xfId="10" applyFont="1" applyFill="1" applyAlignment="1" applyProtection="1">
      <alignment vertical="center"/>
    </xf>
    <xf numFmtId="14" fontId="16" fillId="0" borderId="0" xfId="10" applyNumberFormat="1" applyFont="1" applyFill="1" applyAlignment="1" applyProtection="1">
      <alignment horizontal="left" vertical="center"/>
    </xf>
    <xf numFmtId="0" fontId="16" fillId="0" borderId="0" xfId="10" applyFont="1" applyFill="1" applyAlignment="1" applyProtection="1">
      <alignment horizontal="left" vertical="center"/>
    </xf>
    <xf numFmtId="0" fontId="16" fillId="0" borderId="0" xfId="10" applyFont="1" applyFill="1" applyAlignment="1" applyProtection="1">
      <alignment vertical="center"/>
    </xf>
    <xf numFmtId="0" fontId="22" fillId="0" borderId="0" xfId="11" applyFont="1" applyAlignment="1" applyProtection="1">
      <alignment horizontal="left" vertical="center"/>
    </xf>
    <xf numFmtId="0" fontId="16" fillId="0" borderId="0" xfId="10" applyNumberFormat="1" applyFont="1" applyFill="1" applyBorder="1" applyAlignment="1" applyProtection="1">
      <alignment horizontal="center" vertical="center"/>
    </xf>
    <xf numFmtId="0" fontId="16" fillId="0" borderId="0" xfId="10" applyNumberFormat="1" applyFont="1" applyFill="1" applyBorder="1" applyAlignment="1" applyProtection="1">
      <alignment vertical="center"/>
    </xf>
    <xf numFmtId="0" fontId="20" fillId="0" borderId="0" xfId="10" applyFont="1" applyFill="1" applyAlignment="1" applyProtection="1">
      <alignment horizontal="right" vertical="center"/>
    </xf>
    <xf numFmtId="0" fontId="20" fillId="0" borderId="0" xfId="10" applyNumberFormat="1" applyFont="1" applyFill="1" applyBorder="1" applyAlignment="1" applyProtection="1">
      <alignment vertical="center"/>
    </xf>
    <xf numFmtId="164" fontId="20" fillId="5" borderId="0" xfId="10" applyNumberFormat="1" applyFont="1" applyFill="1" applyBorder="1" applyAlignment="1" applyProtection="1">
      <alignment horizontal="left" vertical="center" shrinkToFit="1"/>
      <protection locked="0"/>
    </xf>
    <xf numFmtId="0" fontId="20" fillId="0" borderId="0" xfId="10" applyFont="1" applyAlignment="1" applyProtection="1">
      <alignment vertical="center"/>
    </xf>
    <xf numFmtId="0" fontId="16" fillId="0" borderId="0" xfId="10" applyFont="1" applyAlignment="1" applyProtection="1">
      <alignment horizontal="left" vertical="center"/>
    </xf>
    <xf numFmtId="166" fontId="16" fillId="0" borderId="1" xfId="10" applyNumberFormat="1" applyFont="1" applyFill="1" applyBorder="1" applyAlignment="1" applyProtection="1">
      <alignment horizontal="center" vertical="center" shrinkToFit="1"/>
    </xf>
    <xf numFmtId="166" fontId="16" fillId="0" borderId="2" xfId="10" applyNumberFormat="1" applyFont="1" applyFill="1" applyBorder="1" applyAlignment="1" applyProtection="1">
      <alignment horizontal="center" vertical="center" shrinkToFit="1"/>
    </xf>
    <xf numFmtId="166" fontId="16" fillId="0" borderId="3" xfId="10" applyNumberFormat="1" applyFont="1" applyFill="1" applyBorder="1" applyAlignment="1" applyProtection="1">
      <alignment horizontal="center" vertical="center" shrinkToFit="1"/>
    </xf>
    <xf numFmtId="0" fontId="16" fillId="0" borderId="5" xfId="10" applyNumberFormat="1" applyFont="1" applyFill="1" applyBorder="1" applyAlignment="1" applyProtection="1">
      <alignment horizontal="center" vertical="center" shrinkToFit="1"/>
    </xf>
    <xf numFmtId="0" fontId="16" fillId="0" borderId="6" xfId="10" applyNumberFormat="1" applyFont="1" applyFill="1" applyBorder="1" applyAlignment="1" applyProtection="1">
      <alignment horizontal="center" vertical="center" shrinkToFit="1"/>
    </xf>
    <xf numFmtId="0" fontId="16" fillId="0" borderId="7" xfId="10" applyNumberFormat="1" applyFont="1" applyFill="1" applyBorder="1" applyAlignment="1" applyProtection="1">
      <alignment horizontal="center" vertical="center" shrinkToFit="1"/>
    </xf>
    <xf numFmtId="0" fontId="16" fillId="0" borderId="0" xfId="10" applyNumberFormat="1" applyFont="1" applyFill="1" applyAlignment="1" applyProtection="1">
      <alignment horizontal="center" vertical="center"/>
    </xf>
    <xf numFmtId="0" fontId="16" fillId="0" borderId="0" xfId="10" applyNumberFormat="1" applyFont="1" applyFill="1" applyAlignment="1" applyProtection="1">
      <alignment horizontal="left" vertical="center"/>
    </xf>
    <xf numFmtId="49" fontId="16" fillId="0" borderId="0" xfId="10" applyNumberFormat="1" applyFont="1" applyFill="1" applyAlignment="1" applyProtection="1">
      <alignment vertical="center"/>
    </xf>
    <xf numFmtId="168" fontId="25" fillId="0" borderId="0" xfId="10" applyNumberFormat="1" applyFont="1" applyFill="1" applyAlignment="1" applyProtection="1">
      <alignment horizontal="center" vertical="center"/>
    </xf>
    <xf numFmtId="169" fontId="25" fillId="0" borderId="0" xfId="10" applyNumberFormat="1" applyFont="1" applyFill="1" applyAlignment="1" applyProtection="1">
      <alignment horizontal="center" vertical="center"/>
    </xf>
    <xf numFmtId="1" fontId="25" fillId="0" borderId="0" xfId="10" applyNumberFormat="1" applyFont="1" applyFill="1" applyAlignment="1" applyProtection="1">
      <alignment horizontal="center" vertical="center"/>
    </xf>
    <xf numFmtId="9" fontId="25" fillId="0" borderId="0" xfId="12" applyFont="1" applyFill="1" applyAlignment="1" applyProtection="1">
      <alignment horizontal="center" vertical="center"/>
      <protection locked="0"/>
    </xf>
    <xf numFmtId="1" fontId="26" fillId="0" borderId="9" xfId="10" applyNumberFormat="1" applyFont="1" applyBorder="1" applyAlignment="1" applyProtection="1">
      <alignment horizontal="center" vertical="center"/>
    </xf>
    <xf numFmtId="0" fontId="16" fillId="0" borderId="8" xfId="10" applyFont="1" applyFill="1" applyBorder="1" applyAlignment="1" applyProtection="1">
      <alignment horizontal="left" vertical="center"/>
    </xf>
    <xf numFmtId="0" fontId="16" fillId="0" borderId="8" xfId="10" applyFont="1" applyFill="1" applyBorder="1" applyAlignment="1" applyProtection="1">
      <alignment vertical="center"/>
    </xf>
    <xf numFmtId="9" fontId="16" fillId="0" borderId="8" xfId="10" applyNumberFormat="1" applyFont="1" applyFill="1" applyBorder="1" applyAlignment="1" applyProtection="1">
      <alignment horizontal="left" vertical="center"/>
    </xf>
    <xf numFmtId="9" fontId="25" fillId="0" borderId="0" xfId="12" applyFont="1" applyFill="1" applyBorder="1" applyAlignment="1" applyProtection="1">
      <alignment horizontal="center" vertical="center"/>
      <protection locked="0"/>
    </xf>
    <xf numFmtId="1" fontId="25" fillId="0" borderId="0" xfId="10" applyNumberFormat="1" applyFont="1" applyFill="1" applyBorder="1" applyAlignment="1" applyProtection="1">
      <alignment horizontal="center" vertical="center"/>
    </xf>
    <xf numFmtId="0" fontId="16" fillId="0" borderId="0" xfId="10" applyNumberFormat="1" applyFont="1" applyFill="1" applyBorder="1" applyAlignment="1" applyProtection="1">
      <alignment horizontal="left" vertical="center"/>
    </xf>
    <xf numFmtId="49" fontId="16" fillId="0" borderId="0" xfId="10" applyNumberFormat="1" applyFont="1" applyFill="1" applyBorder="1" applyAlignment="1" applyProtection="1">
      <alignment vertical="center"/>
    </xf>
    <xf numFmtId="168" fontId="25" fillId="0" borderId="0" xfId="10" applyNumberFormat="1" applyFont="1" applyFill="1" applyBorder="1" applyAlignment="1" applyProtection="1">
      <alignment horizontal="center" vertical="center"/>
    </xf>
    <xf numFmtId="49" fontId="16" fillId="0" borderId="0" xfId="10" applyNumberFormat="1" applyFont="1" applyFill="1" applyBorder="1" applyAlignment="1" applyProtection="1">
      <alignment horizontal="left" vertical="center"/>
    </xf>
    <xf numFmtId="0" fontId="23" fillId="0" borderId="4" xfId="10" applyFont="1" applyFill="1" applyBorder="1" applyAlignment="1" applyProtection="1">
      <alignment horizontal="center" vertical="center"/>
    </xf>
    <xf numFmtId="0" fontId="16" fillId="0" borderId="0" xfId="10" applyFont="1" applyFill="1" applyBorder="1" applyAlignment="1" applyProtection="1">
      <alignment horizontal="left" vertical="center"/>
    </xf>
    <xf numFmtId="0" fontId="10" fillId="10" borderId="0" xfId="0" applyFont="1" applyFill="1" applyAlignment="1">
      <alignment horizontal="center" vertical="center"/>
    </xf>
    <xf numFmtId="0" fontId="10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2" fillId="9" borderId="0" xfId="0" applyFont="1" applyFill="1" applyAlignment="1">
      <alignment vertical="center"/>
    </xf>
    <xf numFmtId="0" fontId="14" fillId="9" borderId="0" xfId="0" applyFont="1" applyFill="1" applyAlignment="1">
      <alignment horizontal="left" vertical="center" wrapText="1"/>
    </xf>
    <xf numFmtId="0" fontId="11" fillId="9" borderId="0" xfId="0" applyFont="1" applyFill="1" applyAlignment="1">
      <alignment horizontal="right" vertical="center" wrapText="1" indent="1"/>
    </xf>
    <xf numFmtId="0" fontId="20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left" vertical="center"/>
    </xf>
    <xf numFmtId="0" fontId="12" fillId="9" borderId="12" xfId="0" applyFont="1" applyFill="1" applyBorder="1" applyAlignment="1">
      <alignment vertical="center"/>
    </xf>
    <xf numFmtId="0" fontId="35" fillId="10" borderId="11" xfId="0" applyFont="1" applyFill="1" applyBorder="1" applyAlignment="1">
      <alignment horizontal="center" vertical="center"/>
    </xf>
    <xf numFmtId="0" fontId="10" fillId="10" borderId="11" xfId="0" applyFont="1" applyFill="1" applyBorder="1" applyAlignment="1">
      <alignment horizontal="center" vertical="center"/>
    </xf>
    <xf numFmtId="0" fontId="36" fillId="10" borderId="11" xfId="0" applyFont="1" applyFill="1" applyBorder="1" applyAlignment="1">
      <alignment horizontal="center" vertical="center"/>
    </xf>
    <xf numFmtId="0" fontId="36" fillId="4" borderId="11" xfId="0" applyFont="1" applyFill="1" applyBorder="1" applyAlignment="1">
      <alignment horizontal="center" vertical="center"/>
    </xf>
    <xf numFmtId="0" fontId="10" fillId="10" borderId="17" xfId="0" applyFont="1" applyFill="1" applyBorder="1" applyAlignment="1">
      <alignment horizontal="center" vertical="center"/>
    </xf>
    <xf numFmtId="0" fontId="36" fillId="10" borderId="17" xfId="0" applyFont="1" applyFill="1" applyBorder="1" applyAlignment="1">
      <alignment horizontal="center" vertical="center"/>
    </xf>
    <xf numFmtId="0" fontId="36" fillId="4" borderId="17" xfId="0" applyFont="1" applyFill="1" applyBorder="1" applyAlignment="1">
      <alignment horizontal="center" vertical="center"/>
    </xf>
    <xf numFmtId="0" fontId="12" fillId="9" borderId="18" xfId="0" applyFont="1" applyFill="1" applyBorder="1" applyAlignment="1">
      <alignment horizontal="left" vertical="top" wrapText="1"/>
    </xf>
    <xf numFmtId="0" fontId="27" fillId="13" borderId="0" xfId="0" applyFont="1" applyFill="1" applyBorder="1" applyAlignment="1">
      <alignment vertical="center" wrapText="1"/>
    </xf>
    <xf numFmtId="0" fontId="41" fillId="0" borderId="0" xfId="9" applyFont="1" applyFill="1" applyBorder="1" applyAlignment="1" applyProtection="1">
      <alignment horizontal="left" vertical="center"/>
    </xf>
    <xf numFmtId="0" fontId="10" fillId="14" borderId="0" xfId="0" applyFont="1" applyFill="1"/>
    <xf numFmtId="0" fontId="10" fillId="14" borderId="0" xfId="0" applyFont="1" applyFill="1" applyAlignment="1"/>
    <xf numFmtId="0" fontId="30" fillId="14" borderId="0" xfId="0" applyFont="1" applyFill="1" applyAlignment="1">
      <alignment vertical="center" wrapText="1"/>
    </xf>
    <xf numFmtId="0" fontId="29" fillId="14" borderId="0" xfId="0" applyFont="1" applyFill="1" applyAlignment="1">
      <alignment horizontal="center" vertical="center"/>
    </xf>
    <xf numFmtId="0" fontId="28" fillId="14" borderId="0" xfId="0" applyFont="1" applyFill="1" applyAlignment="1">
      <alignment horizontal="center" vertical="center"/>
    </xf>
    <xf numFmtId="0" fontId="40" fillId="14" borderId="0" xfId="0" applyFont="1" applyFill="1" applyAlignment="1">
      <alignment horizontal="left" vertical="center"/>
    </xf>
    <xf numFmtId="0" fontId="40" fillId="14" borderId="0" xfId="0" applyFont="1" applyFill="1" applyAlignment="1">
      <alignment vertical="center"/>
    </xf>
    <xf numFmtId="0" fontId="33" fillId="14" borderId="0" xfId="0" applyFont="1" applyFill="1" applyAlignment="1">
      <alignment horizontal="center" vertical="center" wrapText="1"/>
    </xf>
    <xf numFmtId="0" fontId="30" fillId="14" borderId="0" xfId="0" applyFont="1" applyFill="1" applyAlignment="1">
      <alignment horizontal="center"/>
    </xf>
    <xf numFmtId="0" fontId="31" fillId="14" borderId="10" xfId="0" applyFont="1" applyFill="1" applyBorder="1" applyAlignment="1">
      <alignment horizontal="left"/>
    </xf>
    <xf numFmtId="0" fontId="31" fillId="14" borderId="0" xfId="0" applyFont="1" applyFill="1" applyAlignment="1">
      <alignment vertical="center" wrapText="1"/>
    </xf>
    <xf numFmtId="9" fontId="28" fillId="14" borderId="0" xfId="13" applyFont="1" applyFill="1" applyAlignment="1">
      <alignment horizontal="center" vertical="center" wrapText="1"/>
    </xf>
    <xf numFmtId="9" fontId="34" fillId="14" borderId="0" xfId="0" applyNumberFormat="1" applyFont="1" applyFill="1" applyAlignment="1">
      <alignment horizontal="center" vertical="center" wrapText="1"/>
    </xf>
    <xf numFmtId="0" fontId="31" fillId="14" borderId="10" xfId="0" applyFont="1" applyFill="1" applyBorder="1" applyAlignment="1"/>
    <xf numFmtId="9" fontId="34" fillId="14" borderId="0" xfId="0" applyNumberFormat="1" applyFont="1" applyFill="1" applyAlignment="1">
      <alignment vertical="center" wrapText="1"/>
    </xf>
    <xf numFmtId="0" fontId="12" fillId="14" borderId="0" xfId="0" applyFont="1" applyFill="1" applyAlignment="1"/>
    <xf numFmtId="0" fontId="6" fillId="0" borderId="0" xfId="0" pivotButton="1" applyFont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6" fillId="11" borderId="0" xfId="0" applyFont="1" applyFill="1" applyAlignment="1" applyProtection="1">
      <alignment horizontal="center" vertical="center"/>
    </xf>
    <xf numFmtId="0" fontId="6" fillId="0" borderId="0" xfId="0" pivotButton="1" applyFont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12" borderId="0" xfId="0" applyFont="1" applyFill="1" applyAlignment="1" applyProtection="1">
      <alignment horizontal="center" vertical="center"/>
    </xf>
    <xf numFmtId="0" fontId="6" fillId="7" borderId="0" xfId="0" applyFont="1" applyFill="1" applyAlignment="1" applyProtection="1">
      <alignment horizontal="center" vertical="center"/>
    </xf>
    <xf numFmtId="0" fontId="6" fillId="0" borderId="0" xfId="0" applyFont="1" applyFill="1" applyAlignment="1" applyProtection="1">
      <alignment horizontal="center" vertical="center"/>
    </xf>
    <xf numFmtId="0" fontId="6" fillId="0" borderId="0" xfId="0" pivotButton="1" applyFont="1" applyProtection="1"/>
    <xf numFmtId="0" fontId="6" fillId="0" borderId="0" xfId="0" applyFont="1" applyProtection="1"/>
    <xf numFmtId="14" fontId="6" fillId="0" borderId="0" xfId="0" applyNumberFormat="1" applyFont="1" applyAlignment="1" applyProtection="1">
      <alignment horizontal="center" vertical="center"/>
    </xf>
    <xf numFmtId="0" fontId="6" fillId="0" borderId="0" xfId="0" applyNumberFormat="1" applyFont="1" applyAlignment="1" applyProtection="1">
      <alignment horizontal="center" vertical="center"/>
    </xf>
    <xf numFmtId="0" fontId="6" fillId="0" borderId="0" xfId="0" applyFont="1" applyAlignment="1" applyProtection="1">
      <alignment horizontal="left"/>
    </xf>
    <xf numFmtId="0" fontId="6" fillId="0" borderId="0" xfId="0" applyNumberFormat="1" applyFont="1" applyAlignment="1" applyProtection="1">
      <alignment horizontal="center"/>
    </xf>
    <xf numFmtId="170" fontId="6" fillId="0" borderId="0" xfId="13" applyNumberFormat="1" applyFont="1" applyAlignment="1" applyProtection="1">
      <alignment horizontal="center"/>
    </xf>
    <xf numFmtId="0" fontId="6" fillId="2" borderId="16" xfId="0" applyFont="1" applyFill="1" applyBorder="1" applyAlignment="1" applyProtection="1">
      <alignment horizontal="left" vertical="center"/>
    </xf>
    <xf numFmtId="14" fontId="6" fillId="2" borderId="16" xfId="0" applyNumberFormat="1" applyFont="1" applyFill="1" applyBorder="1" applyAlignment="1" applyProtection="1">
      <alignment horizontal="left" vertical="center"/>
    </xf>
    <xf numFmtId="0" fontId="6" fillId="0" borderId="20" xfId="0" applyFont="1" applyBorder="1" applyAlignment="1" applyProtection="1">
      <alignment horizontal="left"/>
    </xf>
    <xf numFmtId="0" fontId="6" fillId="0" borderId="20" xfId="0" applyNumberFormat="1" applyFont="1" applyBorder="1" applyAlignment="1" applyProtection="1">
      <alignment horizontal="center"/>
    </xf>
    <xf numFmtId="170" fontId="6" fillId="0" borderId="0" xfId="13" applyNumberFormat="1" applyFont="1" applyFill="1" applyAlignment="1" applyProtection="1">
      <alignment horizontal="center" vertical="center"/>
    </xf>
    <xf numFmtId="0" fontId="6" fillId="2" borderId="22" xfId="0" applyFont="1" applyFill="1" applyBorder="1" applyAlignment="1" applyProtection="1">
      <alignment horizontal="left" vertical="center"/>
    </xf>
    <xf numFmtId="14" fontId="6" fillId="2" borderId="22" xfId="0" applyNumberFormat="1" applyFont="1" applyFill="1" applyBorder="1" applyAlignment="1" applyProtection="1">
      <alignment horizontal="center" vertical="center"/>
    </xf>
    <xf numFmtId="171" fontId="6" fillId="0" borderId="0" xfId="0" applyNumberFormat="1" applyFont="1" applyAlignment="1" applyProtection="1">
      <alignment horizontal="left"/>
    </xf>
    <xf numFmtId="0" fontId="6" fillId="0" borderId="0" xfId="0" applyFont="1" applyAlignment="1" applyProtection="1">
      <alignment horizontal="center"/>
    </xf>
    <xf numFmtId="0" fontId="6" fillId="0" borderId="21" xfId="0" applyFont="1" applyBorder="1" applyAlignment="1" applyProtection="1">
      <alignment horizontal="left"/>
    </xf>
    <xf numFmtId="0" fontId="6" fillId="2" borderId="22" xfId="0" applyFont="1" applyFill="1" applyBorder="1" applyAlignment="1" applyProtection="1">
      <alignment horizontal="center" vertical="center"/>
    </xf>
    <xf numFmtId="0" fontId="38" fillId="7" borderId="0" xfId="0" applyFont="1" applyFill="1" applyAlignment="1">
      <alignment horizontal="center" vertical="center" wrapText="1"/>
    </xf>
    <xf numFmtId="164" fontId="20" fillId="0" borderId="0" xfId="10" applyNumberFormat="1" applyFont="1" applyFill="1" applyBorder="1" applyAlignment="1" applyProtection="1">
      <alignment horizontal="right" vertical="center" shrinkToFit="1"/>
    </xf>
    <xf numFmtId="0" fontId="31" fillId="14" borderId="0" xfId="0" applyFont="1" applyFill="1" applyAlignment="1">
      <alignment horizontal="center" vertical="center" wrapText="1"/>
    </xf>
    <xf numFmtId="0" fontId="32" fillId="14" borderId="0" xfId="0" applyFont="1" applyFill="1" applyAlignment="1">
      <alignment horizontal="center" vertical="center" wrapText="1"/>
    </xf>
    <xf numFmtId="0" fontId="27" fillId="14" borderId="0" xfId="0" applyFont="1" applyFill="1" applyAlignment="1">
      <alignment horizontal="center"/>
    </xf>
    <xf numFmtId="0" fontId="10" fillId="14" borderId="0" xfId="0" applyFont="1" applyFill="1" applyAlignment="1">
      <alignment horizontal="center"/>
    </xf>
    <xf numFmtId="0" fontId="20" fillId="0" borderId="0" xfId="0" applyNumberFormat="1" applyFont="1" applyFill="1" applyBorder="1" applyAlignment="1" applyProtection="1">
      <alignment horizontal="center" vertical="center" wrapText="1"/>
    </xf>
    <xf numFmtId="0" fontId="6" fillId="15" borderId="0" xfId="0" applyFont="1" applyFill="1" applyAlignment="1" applyProtection="1">
      <alignment horizontal="center" vertical="center"/>
    </xf>
    <xf numFmtId="172" fontId="16" fillId="0" borderId="0" xfId="10" applyNumberFormat="1" applyFont="1" applyFill="1" applyBorder="1" applyAlignment="1" applyProtection="1">
      <alignment vertical="center"/>
    </xf>
    <xf numFmtId="172" fontId="16" fillId="0" borderId="0" xfId="10" applyNumberFormat="1" applyFont="1" applyFill="1" applyAlignment="1" applyProtection="1">
      <alignment horizontal="right" vertical="center"/>
    </xf>
    <xf numFmtId="172" fontId="17" fillId="0" borderId="0" xfId="10" applyNumberFormat="1" applyFont="1" applyBorder="1" applyAlignment="1" applyProtection="1">
      <alignment vertical="center"/>
    </xf>
    <xf numFmtId="0" fontId="48" fillId="9" borderId="0" xfId="11" applyFill="1" applyAlignment="1" applyProtection="1">
      <alignment horizontal="left" vertical="center" wrapText="1" indent="1"/>
    </xf>
    <xf numFmtId="0" fontId="10" fillId="10" borderId="0" xfId="0" applyFont="1" applyFill="1" applyAlignment="1" applyProtection="1">
      <alignment vertical="center"/>
      <protection locked="0"/>
    </xf>
    <xf numFmtId="0" fontId="35" fillId="10" borderId="11" xfId="0" applyFont="1" applyFill="1" applyBorder="1" applyAlignment="1" applyProtection="1">
      <alignment horizontal="center" vertical="center"/>
      <protection locked="0"/>
    </xf>
    <xf numFmtId="0" fontId="10" fillId="10" borderId="11" xfId="0" applyFont="1" applyFill="1" applyBorder="1" applyAlignment="1" applyProtection="1">
      <alignment horizontal="center" vertical="center"/>
      <protection locked="0"/>
    </xf>
    <xf numFmtId="0" fontId="27" fillId="13" borderId="0" xfId="0" applyFont="1" applyFill="1" applyBorder="1" applyAlignment="1" applyProtection="1">
      <alignment vertical="center" wrapText="1"/>
      <protection locked="0"/>
    </xf>
    <xf numFmtId="0" fontId="36" fillId="4" borderId="11" xfId="0" applyFont="1" applyFill="1" applyBorder="1" applyAlignment="1" applyProtection="1">
      <alignment horizontal="center" vertical="center"/>
      <protection locked="0"/>
    </xf>
    <xf numFmtId="0" fontId="36" fillId="10" borderId="11" xfId="0" applyFont="1" applyFill="1" applyBorder="1" applyAlignment="1" applyProtection="1">
      <alignment horizontal="center" vertical="center"/>
      <protection locked="0"/>
    </xf>
    <xf numFmtId="0" fontId="12" fillId="9" borderId="0" xfId="0" applyFont="1" applyFill="1" applyAlignment="1" applyProtection="1">
      <alignment horizontal="center" vertical="center"/>
      <protection locked="0"/>
    </xf>
    <xf numFmtId="0" fontId="12" fillId="9" borderId="0" xfId="0" applyFont="1" applyFill="1" applyAlignment="1" applyProtection="1">
      <alignment vertical="center"/>
      <protection locked="0"/>
    </xf>
    <xf numFmtId="0" fontId="12" fillId="9" borderId="12" xfId="0" applyFont="1" applyFill="1" applyBorder="1" applyAlignment="1" applyProtection="1">
      <alignment vertical="center"/>
      <protection locked="0"/>
    </xf>
    <xf numFmtId="0" fontId="10" fillId="10" borderId="17" xfId="0" applyFont="1" applyFill="1" applyBorder="1" applyAlignment="1" applyProtection="1">
      <alignment horizontal="center" vertical="center"/>
      <protection locked="0"/>
    </xf>
    <xf numFmtId="0" fontId="36" fillId="10" borderId="17" xfId="0" applyFont="1" applyFill="1" applyBorder="1" applyAlignment="1" applyProtection="1">
      <alignment horizontal="center" vertical="center"/>
      <protection locked="0"/>
    </xf>
    <xf numFmtId="0" fontId="36" fillId="4" borderId="17" xfId="0" applyFont="1" applyFill="1" applyBorder="1" applyAlignment="1" applyProtection="1">
      <alignment horizontal="center" vertical="center"/>
      <protection locked="0"/>
    </xf>
    <xf numFmtId="0" fontId="12" fillId="9" borderId="18" xfId="0" applyFont="1" applyFill="1" applyBorder="1" applyAlignment="1" applyProtection="1">
      <alignment horizontal="left" vertical="top" wrapText="1"/>
      <protection locked="0"/>
    </xf>
    <xf numFmtId="0" fontId="10" fillId="10" borderId="0" xfId="0" applyFont="1" applyFill="1" applyAlignment="1" applyProtection="1">
      <alignment horizontal="center" vertical="center"/>
      <protection locked="0"/>
    </xf>
    <xf numFmtId="0" fontId="10" fillId="14" borderId="0" xfId="0" applyFont="1" applyFill="1" applyProtection="1">
      <protection locked="0"/>
    </xf>
    <xf numFmtId="0" fontId="10" fillId="14" borderId="0" xfId="0" applyFont="1" applyFill="1" applyAlignment="1" applyProtection="1">
      <alignment horizontal="center"/>
      <protection locked="0"/>
    </xf>
    <xf numFmtId="0" fontId="10" fillId="14" borderId="0" xfId="0" applyFont="1" applyFill="1" applyAlignment="1" applyProtection="1">
      <protection locked="0"/>
    </xf>
    <xf numFmtId="172" fontId="12" fillId="14" borderId="0" xfId="0" applyNumberFormat="1" applyFont="1" applyFill="1" applyAlignment="1" applyProtection="1">
      <alignment vertical="center"/>
      <protection locked="0"/>
    </xf>
    <xf numFmtId="14" fontId="10" fillId="14" borderId="0" xfId="0" applyNumberFormat="1" applyFont="1" applyFill="1" applyProtection="1">
      <protection locked="0"/>
    </xf>
    <xf numFmtId="172" fontId="16" fillId="0" borderId="0" xfId="10" applyNumberFormat="1" applyFont="1" applyFill="1" applyBorder="1" applyAlignment="1" applyProtection="1">
      <alignment horizontal="center" vertical="center"/>
      <protection locked="0"/>
    </xf>
    <xf numFmtId="49" fontId="24" fillId="0" borderId="0" xfId="10" applyNumberFormat="1" applyFont="1" applyFill="1" applyAlignment="1" applyProtection="1">
      <alignment horizontal="center" vertical="center"/>
      <protection locked="0"/>
    </xf>
    <xf numFmtId="49" fontId="24" fillId="0" borderId="0" xfId="10" quotePrefix="1" applyNumberFormat="1" applyFont="1" applyFill="1" applyAlignment="1" applyProtection="1">
      <alignment horizontal="center" vertical="center"/>
      <protection locked="0"/>
    </xf>
    <xf numFmtId="49" fontId="24" fillId="0" borderId="0" xfId="10" applyNumberFormat="1" applyFont="1" applyFill="1" applyBorder="1" applyAlignment="1" applyProtection="1">
      <alignment horizontal="center" vertical="center"/>
      <protection locked="0"/>
    </xf>
    <xf numFmtId="0" fontId="15" fillId="7" borderId="0" xfId="0" applyFont="1" applyFill="1" applyAlignment="1">
      <alignment horizontal="left" vertical="center" wrapText="1"/>
    </xf>
    <xf numFmtId="0" fontId="14" fillId="9" borderId="0" xfId="0" applyFont="1" applyFill="1" applyAlignment="1">
      <alignment horizontal="left" wrapText="1"/>
    </xf>
    <xf numFmtId="0" fontId="8" fillId="9" borderId="0" xfId="0" applyFont="1" applyFill="1" applyAlignment="1">
      <alignment horizontal="left" vertical="center" wrapText="1" indent="1"/>
    </xf>
    <xf numFmtId="0" fontId="8" fillId="8" borderId="0" xfId="0" applyFont="1" applyFill="1" applyAlignment="1">
      <alignment horizontal="center" vertical="center" wrapText="1"/>
    </xf>
    <xf numFmtId="0" fontId="38" fillId="7" borderId="0" xfId="0" applyFont="1" applyFill="1" applyAlignment="1">
      <alignment horizontal="center" vertical="center" wrapText="1"/>
    </xf>
    <xf numFmtId="9" fontId="38" fillId="7" borderId="0" xfId="13" applyNumberFormat="1" applyFont="1" applyFill="1" applyAlignment="1">
      <alignment horizontal="center" vertical="center" wrapText="1"/>
    </xf>
    <xf numFmtId="165" fontId="16" fillId="0" borderId="1" xfId="10" applyNumberFormat="1" applyFont="1" applyFill="1" applyBorder="1" applyAlignment="1" applyProtection="1">
      <alignment horizontal="center" vertical="center"/>
    </xf>
    <xf numFmtId="165" fontId="16" fillId="0" borderId="2" xfId="10" applyNumberFormat="1" applyFont="1" applyFill="1" applyBorder="1" applyAlignment="1" applyProtection="1">
      <alignment horizontal="center" vertical="center"/>
    </xf>
    <xf numFmtId="165" fontId="16" fillId="0" borderId="3" xfId="10" applyNumberFormat="1" applyFont="1" applyFill="1" applyBorder="1" applyAlignment="1" applyProtection="1">
      <alignment horizontal="center" vertical="center"/>
    </xf>
    <xf numFmtId="172" fontId="16" fillId="0" borderId="0" xfId="10" applyNumberFormat="1" applyFont="1" applyFill="1" applyBorder="1" applyAlignment="1" applyProtection="1">
      <alignment horizontal="center" vertical="center"/>
    </xf>
    <xf numFmtId="164" fontId="20" fillId="0" borderId="0" xfId="10" applyNumberFormat="1" applyFont="1" applyFill="1" applyBorder="1" applyAlignment="1" applyProtection="1">
      <alignment horizontal="right" vertical="center" shrinkToFit="1"/>
    </xf>
    <xf numFmtId="0" fontId="27" fillId="14" borderId="0" xfId="0" applyFont="1" applyFill="1" applyAlignment="1">
      <alignment horizontal="center"/>
    </xf>
    <xf numFmtId="0" fontId="32" fillId="14" borderId="0" xfId="0" applyFont="1" applyFill="1" applyAlignment="1">
      <alignment horizontal="center" vertical="center" wrapText="1"/>
    </xf>
    <xf numFmtId="0" fontId="31" fillId="14" borderId="0" xfId="0" applyFont="1" applyFill="1" applyAlignment="1">
      <alignment horizontal="center" vertical="center" wrapText="1"/>
    </xf>
    <xf numFmtId="17" fontId="28" fillId="14" borderId="0" xfId="0" applyNumberFormat="1" applyFont="1" applyFill="1" applyAlignment="1">
      <alignment horizontal="center" vertical="center"/>
    </xf>
    <xf numFmtId="0" fontId="45" fillId="14" borderId="0" xfId="0" applyFont="1" applyFill="1" applyAlignment="1">
      <alignment horizontal="left" vertical="center"/>
    </xf>
    <xf numFmtId="0" fontId="46" fillId="10" borderId="0" xfId="0" applyFont="1" applyFill="1" applyAlignment="1">
      <alignment horizontal="left" vertical="center"/>
    </xf>
    <xf numFmtId="0" fontId="28" fillId="9" borderId="14" xfId="0" applyFont="1" applyFill="1" applyBorder="1" applyAlignment="1" applyProtection="1">
      <alignment horizontal="center" vertical="center" wrapText="1"/>
      <protection locked="0"/>
    </xf>
    <xf numFmtId="0" fontId="28" fillId="9" borderId="15" xfId="0" applyFont="1" applyFill="1" applyBorder="1" applyAlignment="1" applyProtection="1">
      <alignment horizontal="center" vertical="center" wrapText="1"/>
      <protection locked="0"/>
    </xf>
    <xf numFmtId="0" fontId="12" fillId="9" borderId="14" xfId="0" applyFont="1" applyFill="1" applyBorder="1" applyAlignment="1">
      <alignment horizontal="left" vertical="center" wrapText="1"/>
    </xf>
    <xf numFmtId="0" fontId="12" fillId="9" borderId="19" xfId="0" applyFont="1" applyFill="1" applyBorder="1" applyAlignment="1">
      <alignment horizontal="left" vertical="center" wrapText="1"/>
    </xf>
    <xf numFmtId="0" fontId="12" fillId="9" borderId="0" xfId="0" applyFont="1" applyFill="1" applyBorder="1" applyAlignment="1">
      <alignment horizontal="left" vertical="top" wrapText="1"/>
    </xf>
    <xf numFmtId="0" fontId="12" fillId="9" borderId="0" xfId="0" applyFont="1" applyFill="1" applyBorder="1" applyAlignment="1">
      <alignment horizontal="left" vertical="center" wrapText="1"/>
    </xf>
    <xf numFmtId="9" fontId="37" fillId="9" borderId="14" xfId="0" applyNumberFormat="1" applyFont="1" applyFill="1" applyBorder="1" applyAlignment="1">
      <alignment horizontal="center" vertical="center"/>
    </xf>
    <xf numFmtId="0" fontId="39" fillId="9" borderId="0" xfId="0" applyFont="1" applyFill="1" applyBorder="1" applyAlignment="1">
      <alignment horizontal="center" vertical="center"/>
    </xf>
    <xf numFmtId="0" fontId="27" fillId="9" borderId="13" xfId="0" applyFont="1" applyFill="1" applyBorder="1" applyAlignment="1">
      <alignment horizontal="center" vertical="center"/>
    </xf>
    <xf numFmtId="0" fontId="27" fillId="9" borderId="0" xfId="0" applyFont="1" applyFill="1" applyBorder="1" applyAlignment="1">
      <alignment horizontal="center" vertical="center"/>
    </xf>
    <xf numFmtId="0" fontId="46" fillId="10" borderId="0" xfId="0" applyFont="1" applyFill="1" applyAlignment="1" applyProtection="1">
      <alignment horizontal="left" vertical="center"/>
      <protection locked="0"/>
    </xf>
    <xf numFmtId="0" fontId="12" fillId="9" borderId="14" xfId="0" applyFont="1" applyFill="1" applyBorder="1" applyAlignment="1" applyProtection="1">
      <alignment horizontal="left" vertical="center" wrapText="1"/>
      <protection locked="0"/>
    </xf>
    <xf numFmtId="0" fontId="12" fillId="9" borderId="19" xfId="0" applyFont="1" applyFill="1" applyBorder="1" applyAlignment="1" applyProtection="1">
      <alignment horizontal="left" vertical="center" wrapText="1"/>
      <protection locked="0"/>
    </xf>
    <xf numFmtId="0" fontId="12" fillId="9" borderId="0" xfId="0" applyFont="1" applyFill="1" applyBorder="1" applyAlignment="1" applyProtection="1">
      <alignment horizontal="left" vertical="center" wrapText="1"/>
      <protection locked="0"/>
    </xf>
    <xf numFmtId="0" fontId="12" fillId="9" borderId="0" xfId="0" applyFont="1" applyFill="1" applyBorder="1" applyAlignment="1" applyProtection="1">
      <alignment horizontal="left" vertical="top" wrapText="1"/>
      <protection locked="0"/>
    </xf>
    <xf numFmtId="0" fontId="44" fillId="9" borderId="14" xfId="0" applyFont="1" applyFill="1" applyBorder="1" applyAlignment="1" applyProtection="1">
      <alignment horizontal="center" vertical="center" wrapText="1"/>
      <protection locked="0"/>
    </xf>
    <xf numFmtId="0" fontId="44" fillId="9" borderId="15" xfId="0" applyFont="1" applyFill="1" applyBorder="1" applyAlignment="1" applyProtection="1">
      <alignment horizontal="center" vertical="center" wrapText="1"/>
      <protection locked="0"/>
    </xf>
    <xf numFmtId="9" fontId="37" fillId="9" borderId="14" xfId="0" applyNumberFormat="1" applyFont="1" applyFill="1" applyBorder="1" applyAlignment="1" applyProtection="1">
      <alignment horizontal="center" vertical="center"/>
      <protection locked="0"/>
    </xf>
    <xf numFmtId="0" fontId="39" fillId="9" borderId="0" xfId="0" applyFont="1" applyFill="1" applyBorder="1" applyAlignment="1" applyProtection="1">
      <alignment horizontal="center" vertical="center"/>
      <protection locked="0"/>
    </xf>
    <xf numFmtId="0" fontId="27" fillId="9" borderId="13" xfId="0" applyFont="1" applyFill="1" applyBorder="1" applyAlignment="1" applyProtection="1">
      <alignment horizontal="center" vertical="center"/>
      <protection locked="0"/>
    </xf>
    <xf numFmtId="0" fontId="27" fillId="9" borderId="0" xfId="0" applyFont="1" applyFill="1" applyBorder="1" applyAlignment="1" applyProtection="1">
      <alignment horizontal="center" vertical="center"/>
      <protection locked="0"/>
    </xf>
    <xf numFmtId="0" fontId="42" fillId="14" borderId="0" xfId="0" applyFont="1" applyFill="1" applyAlignment="1" applyProtection="1">
      <alignment horizontal="left" vertical="center" wrapText="1"/>
      <protection locked="0"/>
    </xf>
    <xf numFmtId="171" fontId="43" fillId="14" borderId="0" xfId="0" applyNumberFormat="1" applyFont="1" applyFill="1" applyAlignment="1" applyProtection="1">
      <alignment horizontal="center" vertical="center"/>
      <protection locked="0"/>
    </xf>
    <xf numFmtId="172" fontId="12" fillId="14" borderId="0" xfId="0" applyNumberFormat="1" applyFont="1" applyFill="1" applyAlignment="1" applyProtection="1">
      <alignment horizontal="center" vertical="center"/>
      <protection locked="0"/>
    </xf>
    <xf numFmtId="0" fontId="42" fillId="14" borderId="0" xfId="0" applyFont="1" applyFill="1" applyAlignment="1" applyProtection="1">
      <alignment horizontal="right" vertical="center" wrapText="1"/>
      <protection locked="0"/>
    </xf>
    <xf numFmtId="0" fontId="46" fillId="14" borderId="0" xfId="0" applyFont="1" applyFill="1" applyAlignment="1" applyProtection="1">
      <alignment horizontal="left" vertical="center" wrapText="1"/>
      <protection locked="0"/>
    </xf>
    <xf numFmtId="0" fontId="46" fillId="14" borderId="0" xfId="0" applyFont="1" applyFill="1" applyAlignment="1" applyProtection="1">
      <alignment horizontal="left" vertical="center"/>
      <protection locked="0"/>
    </xf>
    <xf numFmtId="0" fontId="10" fillId="14" borderId="0" xfId="0" applyFont="1" applyFill="1" applyAlignment="1" applyProtection="1">
      <alignment horizontal="center"/>
      <protection locked="0"/>
    </xf>
  </cellXfs>
  <cellStyles count="15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4" builtinId="9" customBuilti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11" builtinId="8" customBuiltin="1"/>
    <cellStyle name="Normal" xfId="0" builtinId="0"/>
    <cellStyle name="Normal 2" xfId="10"/>
    <cellStyle name="Percent" xfId="13" builtinId="5"/>
    <cellStyle name="Percent 2" xfId="12"/>
    <cellStyle name="Title" xfId="9" builtinId="15"/>
  </cellStyles>
  <dxfs count="264">
    <dxf>
      <font>
        <sz val="10"/>
      </font>
    </dxf>
    <dxf>
      <font>
        <name val="Calibri Light"/>
        <scheme val="major"/>
      </font>
    </dxf>
    <dxf>
      <alignment vertical="center"/>
    </dxf>
    <dxf>
      <alignment vertical="center"/>
    </dxf>
    <dxf>
      <alignment horizontal="center" readingOrder="0"/>
    </dxf>
    <dxf>
      <alignment vertical="center" readingOrder="0"/>
    </dxf>
    <dxf>
      <font>
        <sz val="10"/>
      </font>
    </dxf>
    <dxf>
      <font>
        <name val="Calibri Light"/>
        <scheme val="major"/>
      </font>
    </dxf>
    <dxf>
      <numFmt numFmtId="19" formatCode="dd/mm/yyyy"/>
    </dxf>
    <dxf>
      <font>
        <sz val="10"/>
      </font>
    </dxf>
    <dxf>
      <font>
        <name val="Calibri Light"/>
        <scheme val="major"/>
      </font>
    </dxf>
    <dxf>
      <font>
        <sz val="10"/>
      </font>
    </dxf>
    <dxf>
      <font>
        <name val="Calibri Light"/>
        <scheme val="major"/>
      </font>
    </dxf>
    <dxf>
      <alignment vertical="center"/>
    </dxf>
    <dxf>
      <alignment vertical="center"/>
    </dxf>
    <dxf>
      <alignment horizontal="center"/>
    </dxf>
    <dxf>
      <alignment horizontal="center"/>
    </dxf>
    <dxf>
      <font>
        <sz val="10"/>
      </font>
    </dxf>
    <dxf>
      <font>
        <sz val="10"/>
      </font>
    </dxf>
    <dxf>
      <font>
        <sz val="10"/>
      </font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ont>
        <color rgb="FFFEFEFE"/>
      </font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ill>
        <patternFill>
          <bgColor rgb="FF58BF94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ont>
        <color rgb="FF0A0A0A"/>
      </font>
      <fill>
        <patternFill>
          <bgColor rgb="FFDCDCDC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ill>
        <patternFill>
          <bgColor rgb="FF58BF94"/>
        </patternFill>
      </fill>
    </dxf>
    <dxf>
      <fill>
        <patternFill>
          <bgColor theme="7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ont>
        <b/>
        <i val="0"/>
        <color rgb="FF58BF94"/>
      </font>
      <fill>
        <patternFill>
          <bgColor theme="0"/>
        </patternFill>
      </fill>
    </dxf>
    <dxf>
      <font>
        <b/>
        <i val="0"/>
        <color rgb="FFC00000"/>
      </font>
      <fill>
        <patternFill>
          <bgColor theme="0"/>
        </patternFill>
      </fill>
    </dxf>
    <dxf>
      <font>
        <b/>
        <i val="0"/>
        <color rgb="FF808080"/>
      </font>
      <fill>
        <patternFill patternType="none">
          <bgColor auto="1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ill>
        <patternFill>
          <bgColor rgb="FF58BF94"/>
        </patternFill>
      </fill>
    </dxf>
    <dxf>
      <fill>
        <patternFill>
          <bgColor rgb="FFC00000"/>
        </patternFill>
      </fill>
    </dxf>
    <dxf>
      <fill>
        <patternFill>
          <bgColor rgb="FF80808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1" formatCode="0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169" formatCode="d/mm/yyyy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Trebuchet MS"/>
        <scheme val="none"/>
      </font>
      <numFmt numFmtId="168" formatCode="d\.mm\.yyyy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C2604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C2604"/>
        <name val="Trebuchet MS"/>
        <scheme val="none"/>
      </font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protection locked="1" hidden="0"/>
    </dxf>
    <dxf>
      <font>
        <strike val="0"/>
        <outline val="0"/>
        <shadow val="0"/>
        <vertAlign val="baseline"/>
        <sz val="11"/>
        <name val="Trebuchet MS"/>
        <scheme val="none"/>
      </font>
      <alignment vertical="center" textRotation="0" wrapText="0" indent="0" justifyLastLine="0" readingOrder="0"/>
      <protection locked="1" hidden="0"/>
    </dxf>
    <dxf>
      <border outline="0">
        <bottom style="medium">
          <color theme="0" tint="-0.34998626667073579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rebuchet MS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7" tint="0.59996337778862885"/>
        </patternFill>
      </fill>
    </dxf>
    <dxf>
      <font>
        <b/>
        <i val="0"/>
        <color rgb="FFC00000"/>
      </font>
    </dxf>
    <dxf>
      <font>
        <b/>
        <i val="0"/>
        <color rgb="FF00ADEF"/>
      </font>
    </dxf>
    <dxf>
      <font>
        <b/>
        <i val="0"/>
      </font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ill>
        <patternFill>
          <bgColor theme="8" tint="0.39994506668294322"/>
        </patternFill>
      </fill>
    </dxf>
    <dxf>
      <fill>
        <patternFill>
          <bgColor theme="8"/>
        </patternFill>
      </fill>
    </dxf>
    <dxf>
      <font>
        <color theme="0"/>
      </font>
      <fill>
        <patternFill>
          <bgColor theme="5"/>
        </patternFill>
      </fill>
    </dxf>
    <dxf>
      <fill>
        <patternFill>
          <bgColor theme="0" tint="-4.9989318521683403E-2"/>
        </patternFill>
      </fill>
    </dxf>
    <dxf>
      <font>
        <b/>
        <i val="0"/>
      </font>
    </dxf>
    <dxf>
      <border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9" defaultPivotStyle="PivotStyleMedium7">
    <tableStyle name="depfin" pivot="0" count="3">
      <tableStyleElement type="wholeTable" dxfId="263"/>
      <tableStyleElement type="headerRow" dxfId="262"/>
      <tableStyleElement type="firstRowStripe" dxfId="261"/>
    </tableStyle>
  </tableStyles>
  <colors>
    <mruColors>
      <color rgb="FF00ADEF"/>
      <color rgb="FF58BF94"/>
      <color rgb="FFF8F8F8"/>
      <color rgb="FF010101"/>
      <color rgb="FFFEFEFE"/>
      <color rgb="FF0A0A0A"/>
      <color rgb="FFDCDCDC"/>
      <color rgb="FF46B887"/>
      <color rgb="FF42AC7F"/>
      <color rgb="FF358B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85000"/>
              </a:schemeClr>
            </a:solidFill>
            <a:ln>
              <a:noFill/>
            </a:ln>
          </c:spPr>
          <c:invertIfNegative val="0"/>
          <c:cat>
            <c:numRef>
              <c:f>[0]!dates_end</c:f>
              <c:numCache>
                <c:formatCode>m/d/yyyy</c:formatCode>
                <c:ptCount val="45"/>
                <c:pt idx="0">
                  <c:v>43098</c:v>
                </c:pt>
                <c:pt idx="1">
                  <c:v>43125</c:v>
                </c:pt>
                <c:pt idx="2">
                  <c:v>43132</c:v>
                </c:pt>
                <c:pt idx="3">
                  <c:v>43152</c:v>
                </c:pt>
                <c:pt idx="4">
                  <c:v>43179</c:v>
                </c:pt>
                <c:pt idx="5">
                  <c:v>43187</c:v>
                </c:pt>
                <c:pt idx="6">
                  <c:v>43188</c:v>
                </c:pt>
                <c:pt idx="7">
                  <c:v>43192</c:v>
                </c:pt>
                <c:pt idx="8">
                  <c:v>43205</c:v>
                </c:pt>
                <c:pt idx="9">
                  <c:v>43215</c:v>
                </c:pt>
                <c:pt idx="10">
                  <c:v>43218</c:v>
                </c:pt>
                <c:pt idx="11">
                  <c:v>43220</c:v>
                </c:pt>
                <c:pt idx="12">
                  <c:v>43223</c:v>
                </c:pt>
                <c:pt idx="13">
                  <c:v>43245</c:v>
                </c:pt>
                <c:pt idx="14">
                  <c:v>43250</c:v>
                </c:pt>
                <c:pt idx="15">
                  <c:v>43252</c:v>
                </c:pt>
                <c:pt idx="16">
                  <c:v>43267</c:v>
                </c:pt>
                <c:pt idx="17">
                  <c:v>43281</c:v>
                </c:pt>
                <c:pt idx="18">
                  <c:v>43295</c:v>
                </c:pt>
                <c:pt idx="19">
                  <c:v>43298</c:v>
                </c:pt>
                <c:pt idx="20">
                  <c:v>43306</c:v>
                </c:pt>
                <c:pt idx="21">
                  <c:v>43309</c:v>
                </c:pt>
                <c:pt idx="22">
                  <c:v>43311</c:v>
                </c:pt>
                <c:pt idx="23">
                  <c:v>43312</c:v>
                </c:pt>
                <c:pt idx="24">
                  <c:v>43322</c:v>
                </c:pt>
                <c:pt idx="25">
                  <c:v>43323</c:v>
                </c:pt>
                <c:pt idx="26">
                  <c:v>43327</c:v>
                </c:pt>
                <c:pt idx="27">
                  <c:v>43344</c:v>
                </c:pt>
                <c:pt idx="28">
                  <c:v>43347</c:v>
                </c:pt>
                <c:pt idx="29">
                  <c:v>43350</c:v>
                </c:pt>
                <c:pt idx="30">
                  <c:v>43352</c:v>
                </c:pt>
                <c:pt idx="31">
                  <c:v>43358</c:v>
                </c:pt>
                <c:pt idx="32">
                  <c:v>43365</c:v>
                </c:pt>
                <c:pt idx="33">
                  <c:v>43372</c:v>
                </c:pt>
                <c:pt idx="34">
                  <c:v>43375</c:v>
                </c:pt>
                <c:pt idx="35">
                  <c:v>43389</c:v>
                </c:pt>
                <c:pt idx="36">
                  <c:v>43398</c:v>
                </c:pt>
                <c:pt idx="37">
                  <c:v>43402</c:v>
                </c:pt>
                <c:pt idx="38">
                  <c:v>43403</c:v>
                </c:pt>
                <c:pt idx="39">
                  <c:v>43404</c:v>
                </c:pt>
                <c:pt idx="40">
                  <c:v>43405</c:v>
                </c:pt>
                <c:pt idx="41">
                  <c:v>43423</c:v>
                </c:pt>
                <c:pt idx="42">
                  <c:v>43437</c:v>
                </c:pt>
                <c:pt idx="43">
                  <c:v>43463</c:v>
                </c:pt>
                <c:pt idx="44">
                  <c:v>43495</c:v>
                </c:pt>
              </c:numCache>
            </c:numRef>
          </c:cat>
          <c:val>
            <c:numRef>
              <c:f>[0]!dates_count</c:f>
              <c:numCache>
                <c:formatCode>General</c:formatCode>
                <c:ptCount val="45"/>
                <c:pt idx="0">
                  <c:v>2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3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1</c:v>
                </c:pt>
                <c:pt idx="18">
                  <c:v>6</c:v>
                </c:pt>
                <c:pt idx="19">
                  <c:v>1</c:v>
                </c:pt>
                <c:pt idx="20">
                  <c:v>2</c:v>
                </c:pt>
                <c:pt idx="21">
                  <c:v>4</c:v>
                </c:pt>
                <c:pt idx="22">
                  <c:v>3</c:v>
                </c:pt>
                <c:pt idx="23">
                  <c:v>3</c:v>
                </c:pt>
                <c:pt idx="24">
                  <c:v>1</c:v>
                </c:pt>
                <c:pt idx="25">
                  <c:v>4</c:v>
                </c:pt>
                <c:pt idx="26">
                  <c:v>2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1</c:v>
                </c:pt>
                <c:pt idx="38">
                  <c:v>2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3</c:v>
                </c:pt>
                <c:pt idx="43">
                  <c:v>2</c:v>
                </c:pt>
                <c:pt idx="44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44A-4CFF-99D6-8D861784DB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1137408"/>
        <c:axId val="331139328"/>
      </c:barChart>
      <c:dateAx>
        <c:axId val="331137408"/>
        <c:scaling>
          <c:orientation val="minMax"/>
        </c:scaling>
        <c:delete val="0"/>
        <c:axPos val="b"/>
        <c:numFmt formatCode="[$-419]mmmm\ yyyy;@" sourceLinked="0"/>
        <c:majorTickMark val="out"/>
        <c:minorTickMark val="none"/>
        <c:tickLblPos val="nextTo"/>
        <c:spPr>
          <a:ln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ru-RU"/>
          </a:p>
        </c:txPr>
        <c:crossAx val="331139328"/>
        <c:crosses val="autoZero"/>
        <c:auto val="1"/>
        <c:lblOffset val="100"/>
        <c:baseTimeUnit val="months"/>
      </c:dateAx>
      <c:valAx>
        <c:axId val="331139328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331137408"/>
        <c:crosses val="autoZero"/>
        <c:crossBetween val="between"/>
      </c:valAx>
      <c:spPr>
        <a:solidFill>
          <a:schemeClr val="bg1">
            <a:lumMod val="75000"/>
          </a:schemeClr>
        </a:solidFill>
        <a:ln w="25400">
          <a:noFill/>
        </a:ln>
      </c:spPr>
    </c:plotArea>
    <c:plotVisOnly val="1"/>
    <c:dispBlanksAs val="gap"/>
    <c:showDLblsOverMax val="0"/>
  </c:chart>
  <c:spPr>
    <a:solidFill>
      <a:schemeClr val="bg1">
        <a:lumMod val="75000"/>
      </a:schemeClr>
    </a:solidFill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Scroll" dx="22" fmlaLink="$K$4" horiz="1" max="100" min="1" page="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123825</xdr:colOff>
      <xdr:row>9</xdr:row>
      <xdr:rowOff>123825</xdr:rowOff>
    </xdr:from>
    <xdr:to>
      <xdr:col>3</xdr:col>
      <xdr:colOff>5467350</xdr:colOff>
      <xdr:row>11</xdr:row>
      <xdr:rowOff>647699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949699</xdr:colOff>
      <xdr:row>4</xdr:row>
      <xdr:rowOff>47821</xdr:rowOff>
    </xdr:from>
    <xdr:to>
      <xdr:col>3</xdr:col>
      <xdr:colOff>4363571</xdr:colOff>
      <xdr:row>8</xdr:row>
      <xdr:rowOff>1682</xdr:rowOff>
    </xdr:to>
    <xdr:sp macro="" textlink="">
      <xdr:nvSpPr>
        <xdr:cNvPr id="2" name="Text Box 44" hidden="1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4953000" y="1371600"/>
          <a:ext cx="3419475" cy="1099608"/>
        </a:xfrm>
        <a:prstGeom prst="rect">
          <a:avLst/>
        </a:prstGeom>
        <a:solidFill>
          <a:srgbClr val="FFFFE1"/>
        </a:solidFill>
        <a:ln w="9525">
          <a:solidFill>
            <a:srgbClr val="000000"/>
          </a:solidFill>
          <a:miter lim="800000"/>
          <a:headEnd/>
          <a:tailEnd/>
        </a:ln>
        <a:effectLst>
          <a:outerShdw dist="35921" dir="2700000" algn="ctr" rotWithShape="0">
            <a:srgbClr val="000000"/>
          </a:outerShdw>
        </a:effectLst>
        <a:extLst>
          <a:ext uri="{53640926-AAD7-44D8-BBD7-CCE9431645EC}">
            <a14:shadowObscured xmlns:a14="http://schemas.microsoft.com/office/drawing/2010/main" val="1"/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57150</xdr:colOff>
          <xdr:row>1</xdr:row>
          <xdr:rowOff>9525</xdr:rowOff>
        </xdr:from>
        <xdr:to>
          <xdr:col>22</xdr:col>
          <xdr:colOff>200025</xdr:colOff>
          <xdr:row>2</xdr:row>
          <xdr:rowOff>66675</xdr:rowOff>
        </xdr:to>
        <xdr:sp macro="" textlink="">
          <xdr:nvSpPr>
            <xdr:cNvPr id="9217" name="Scroll Bar 1" hidden="1">
              <a:extLst>
                <a:ext uri="{63B3BB69-23CF-44E3-9099-C40C66FF867C}">
                  <a14:compatExt spid="_x0000_s921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Кулешов" refreshedDate="43228.416780671294" createdVersion="4" refreshedVersion="4" minRefreshableVersion="3" recordCount="81">
  <cacheSource type="worksheet">
    <worksheetSource name="DataTable"/>
  </cacheSource>
  <cacheFields count="12">
    <cacheField name="№" numFmtId="0">
      <sharedItems containsSemiMixedTypes="0" containsString="0" containsNumber="1" containsInteger="1" minValue="1" maxValue="81"/>
    </cacheField>
    <cacheField name="Категория" numFmtId="0">
      <sharedItems count="6">
        <s v="Формирование и ведение СБР, кассового плана"/>
        <s v="Сроки уплаты основных налогов и сборов"/>
        <s v="Годовой отчет об исполнении бюджета"/>
        <s v="Мониторинг"/>
        <s v="Отчетность с установленной периодичностью"/>
        <s v="Формирование проекта закона о бюджете"/>
      </sharedItems>
    </cacheField>
    <cacheField name="!" numFmtId="49">
      <sharedItems containsBlank="1"/>
    </cacheField>
    <cacheField name="Действие" numFmtId="49">
      <sharedItems count="64" longText="1">
        <s v="Составление сводной бюджетной росписи областного бюджета"/>
        <s v="Формирование кассового плана областного бюджета на 2018 год"/>
        <s v="Уплата юридическими лицами и ИП единого налога на вмененный доход"/>
        <s v="Уплата юридическими лицами и ИП единого сельскохозяйственного налога"/>
        <s v="Уплата юридическими лицами земельного налога"/>
        <s v="Уплата юридическими лицами транспортного налога"/>
        <s v="Уплата юридическими лицами налога на имущество организаций"/>
        <s v="Представление сводной информации об исполнении региональной адресной инвестиционной программы за 2017 год"/>
        <s v="Представление отчетов о фактическом предоставлении межбюджетных трансфертов из областного бюджета бюджетам муниципальных образований за 2017 год"/>
        <s v="Проведение оценки эффективности государственных программ Брянской области за 2017 год"/>
        <s v="Уплата юридическими лицами налога на прибыль организаций (ежеквартальные авансовые платежи)"/>
        <s v="Информация в Минфин России с целью проведения оценки качества управления региональными финансами"/>
        <s v="Мониторинг качества управления муниципальными финансами (I квартал)"/>
        <s v="Представление реестра расходных обязательств областного бюджета и свода РРО местных бюджетов в Минфин России"/>
        <s v="Организация и проведение оценки качества финансового менеджмента ГРБС за 2017 год"/>
        <s v="Уплата юридическими лицами акцизов на алкогольную продукцию (ежемесячно)"/>
        <s v="Внесение проекта закона об исполнении областного бюджета за 2017 год в Брянскую областную Думу"/>
        <s v="Организация и проведение публичных слушаний по проекту отчета об исполнении областного бюджета за 2017 год"/>
        <s v="Расчеты ожидаемых поступлений с целью формирования доходной части областного бюджета"/>
        <s v="Прогноз индексов роста потребительских цен на 2017 год, на 2018 год и на плановый период 2019 и 2020 годов"/>
        <s v="Обоснования бюджетных ассигнований на очередной финансовый год и плановый период по формам, утвержденным приказом департамента финансов Брянской области от 20.07.2015 № 124 «Об утверждении методики планирования бюджетных ассигнований областного бюджета»"/>
        <s v="Результаты оценки обеспеченности населения региона сетью государственных (муниципальных) учреждений "/>
        <s v="Результаты оценки потребности в предоставляемых государственных услугах"/>
        <s v="Фактический фонд оплаты труда работающих за 2016 год, оценка фонда оплаты труда работающих в 2017 году и его прогноз на 2018 – 2020 годы в разрезе муниципальных образований (городских округов, муниципальных районов, поселений)"/>
        <s v="Данные о фактической прибыли прибыльных предприятий за 2016 год, оценка прибыли прибыльных предприятий на 2017 год и ее прогноз на 2018 – 2020 годы в разрезе муниципальных образований (городских округов, муниципальных районов)"/>
        <s v="Сведения о стоимости основных фондов на 1 января 2017 года и на 1 апреля 2017 года в разрезе муниципальных образований (городских округов, муниципальных районов)"/>
        <s v="Предложения о возврате бюджетных кредитов (бюджетных ссуд), предоставленных сельским товаропроизводителям на обеспечение машиностроительной продукцией на основе договоров финансовой аренды (лизинга), полученным по программе «Инженерно-техническое обеспечение АПК Брянской области на 2001 – 2005 годы»"/>
        <s v="Предварительный прогноз социально-экономического развития Брянской области на 2018 – 2020 годы"/>
        <s v="Проект областной программы приватизации на 2018 год и на плановый период 2019 и 2020 годов"/>
        <s v="Инвентаризация предоставляемых субвенций, субсидий и иных межбюджетных трансфертов из областного бюджета бюджетам муниципальных районов (городских округов), предложения по укрупнению (объединению) субвенций, субсидий, оптимизации предоставления иных межбюджетных трансфертов"/>
        <s v="Мониторинг качества управления муниципальными финансами (II квартал)"/>
        <s v="Предложения по формированию перечней субсидий на иные цели, перечней услуг, оказываемых государственными учреждениями на платной основе"/>
        <s v="Планы закупок для обеспечения нужд Брянской области на очередной финансовый год и на плановый период"/>
        <s v="Расчеты объемов расходов на 2018-2020 годы: на финансовое обеспечение государственных гарантий реализации прав на получение общедоступного и бесплатного дошкольного образования в образовательных организациях на финансовое обеспечение государственных гарантий реализации прав на получение общедоступного и бесплатного начального общего, основного общего, среднего общего образования в общеобразовательных организациях на предоставление мер социальной поддержки работникам образовательных организаций, работающим в сельских населенных пунктах и поселках городского типа на территории Брянской области на выплату компенсации части родительской платы за присмотр и уход за детьми в образовательных организациях, реализующих образовательную программу дошкольного образования"/>
        <s v="Проекты нормативных правовых актов об утверждении нормативных затрат на оказание государственными учреждениями Брянской области государственных услуг на 2018 – 2020 годы"/>
        <s v="Прогноз темпов роста тарифов на газ, теплоэнергию, электроэнергию, водоснабжение, водоотведение, содержание жилья на 2018 год и на плановый период 2019 и 2020 годов с учетом снижения издержек поставщиков коммунальных услуг"/>
        <s v="Прогноз тарифов на услуги по перевозке пассажиров и экономически обоснованных тарифов по пригородным перевозкам железнодорожного транспорта; прогнозный расчет объема выпадающих доходов организаций железнодорожного транспорта по пригородным перевозкам в результате государственного регулирования тарифов на 2018 год и плановый период 2019 и 2020 годов"/>
        <s v="Прогноз тарифов на услуги по перевозке пассажиров и экономически обоснованных тарифов по межмуниципальным маршрутам регулярных перевозок автомобильным транспортом; прогнозный расчет объема выпадающих доходов организаций автомобильного транспорта по межмуниципальным маршрутам в результате государственного регулирования тарифов на 2018 год и плановый период 2019 и 2020 годов"/>
        <s v="Предложения по утверждению нормативов расходов муниципальных образований области, применяемых при формировании проекта областного бюджета в части межбюджетных отношений на 2018 – 2020 годы"/>
        <s v="Оценка эффективности предоставленных и планируемых к предоставлению налоговых льгот"/>
        <s v="Проекты законов Брянской области о наделении органов местного самоуправления отдельными государственными полномочиями Брянской области (при необходимости)"/>
        <s v="Исходная база для формирования межбюджетных отношений с муниципальными образованиями, согласование с органами местного самоуправления муниципальных образований"/>
        <s v="Прогноз выпадающих в результате предоставления налоговых льгот доходов областного бюджета на 2018 и последующие годы"/>
        <s v="Перечень мероприятий по мобилизационной подготовке экономики Брянской области, планируемых на 2018 – 2020 годы к финансированию из областного бюджета, и сведения о потребности в бюджетных ассигнованиях на мобилизационные расходы на 2018 – 2020 годы"/>
        <s v="Сформировать параметры областного бюджета на 2018 год и на плановый период 2019 и 2020 годов"/>
        <s v="Основные направления бюджетной политики и основные направления налоговой политики Брянской области на 2018 год и на плановый период 2019 и 2020 годов"/>
        <s v="Распределение доведенных предельных объемов бюджетного финансирования на 2018 год и на плановый период 2019 и 2020 годов по разделам, подразделам, целевым статьям (государственным программам и непрограммным направлениям деятельности), группам, подгруппам, элементам видов расходов"/>
        <s v="Проекты бюджетных смет расходов с расчетами (обоснованиями) органов государственной власти Брянской области, государственных органов Брянской области, государственных казенных учреждений Брянской области на 2018 - 2020 годы"/>
        <s v="Прогноз доходов и расходов бюджета территориального фонда обязательного медицинского страхования Брянской области с расчетами и обоснованиями на 2018 год и плановый период 2019 и 2020 годов"/>
        <s v="Организация независимой оценки качества оказания услуг организациями в сфере культуры, социального обслуживания, охраны здоровья, образования, физической культуры и спорта на территории Брянской области"/>
        <s v="Проект региональной адресной инвестиционной программы на 2018 год и на плановый период 2019 и 2020 годов"/>
        <s v="Проекты распределений субсидий бюджетам муниципальных районов и городских округов для формирования проектов местных бюджетов на 2018 – 2020 годы и приложений к закону об областном бюджете на 2018 год и на плановый период 2019 и 2020 годов"/>
        <s v="Результаты оценки эффективности инвестиционных расходов в соответствии с нормативным правовым актом, регламентирующим вопросы инвестиционной деятельности"/>
        <s v="Проекты нормативных правовых актов о внесении изменений в государственные программы Брянской области на 2014 – 2020 годы"/>
        <s v="Проект бюджета территориального фонда обязательного медицинского страхования Брянской области на 2018 год и на плановый период 2019 и 2020 годов"/>
        <s v="Мониторинг качества управления муниципальными финансами (III квартал)"/>
        <s v="Внесение проекта бюджета на очередной финансовый год и на плановый период на рассмотрение Брянской областной Думы"/>
        <s v="Организация и проведение публичных слушаний по проекту закона о бюджете на очередной финансовый год и на плановый период"/>
        <s v="Уплата физическими лицами земельного налога"/>
        <s v="Уплата физическими лицами транспортного налога"/>
        <s v="Уплата физическими лицами налога на имущество физических лиц"/>
        <s v="Государственные задания на оказание государственными учреждениями Брянской области государственных услуг (выполнение работ)"/>
        <s v="Формирование и утверждение государственными учреждениями Брянской области планов финансово-хозяйственной деятельности на 2018 – 2020 годы"/>
        <s v="Мониторинг качества управления муниципальными финансами (IV квартал, за год)"/>
      </sharedItems>
    </cacheField>
    <cacheField name="Основание (НПА)" numFmtId="0">
      <sharedItems count="13">
        <s v="Приказ Департамента финансов Брянской области от 16.12.2013 № 165"/>
        <s v="Приказ департамента финансов Брянской области от 30.03.2018 № 49"/>
        <s v="Налоговый кодекс РФ"/>
        <s v="Приказ департамента финансов Брянской области от 27.01.2017 № 17"/>
        <s v="Постановление Правительства Брянской области от 28.10.2013 № 608-п"/>
        <s v="Приказ Минфина России от 03.12.2010 № 552"/>
        <s v="Постановление Правительства Брянской области от 10.10.2016 № 515-п"/>
        <s v="Приказ Минфина России от 31.05.2017 № 82н"/>
        <s v="Постановление Правительства Брянской области от 31.03.2014 № 119-п"/>
        <s v="Распоряжение Правительства Брянской области от 3.07.2017 № 186-рп"/>
        <s v="Постановление Правительства Брянской области от 11.08.2017 № 370-п"/>
        <s v="Закон Брянской области от 28.06.2007 № 93-З"/>
        <s v="Постановление Правительства Брянской области от 28.08.2015 № 426-п"/>
      </sharedItems>
    </cacheField>
    <cacheField name="Часть" numFmtId="0">
      <sharedItems/>
    </cacheField>
    <cacheField name="Ответственный" numFmtId="0">
      <sharedItems longText="1"/>
    </cacheField>
    <cacheField name="Начало" numFmtId="168">
      <sharedItems containsSemiMixedTypes="0" containsNonDate="0" containsDate="1" containsString="0" minDate="2017-12-20T00:00:00" maxDate="2019-01-22T00:00:00"/>
    </cacheField>
    <cacheField name="Окончание" numFmtId="169">
      <sharedItems containsSemiMixedTypes="0" containsNonDate="0" containsDate="1" containsString="0" minDate="2017-12-29T00:00:00" maxDate="2019-01-31T00:00:00" count="70">
        <d v="2017-12-29T00:00:00"/>
        <d v="2018-01-25T00:00:00"/>
        <d v="2018-02-01T00:00:00"/>
        <d v="2018-02-21T00:00:00"/>
        <d v="2018-03-20T00:00:00"/>
        <d v="2018-03-29T00:00:00"/>
        <d v="2018-03-28T00:00:00"/>
        <d v="2018-04-15T00:00:00"/>
        <d v="2018-04-02T00:00:00"/>
        <d v="2018-04-30T00:00:00"/>
        <d v="2018-04-25T00:00:00"/>
        <d v="2018-04-28T00:00:00"/>
        <d v="2018-06-01T00:00:00"/>
        <d v="2018-05-03T00:00:00"/>
        <d v="2018-05-30T00:00:00"/>
        <d v="2018-05-25T00:00:00"/>
        <d v="2018-06-16T00:00:00"/>
        <d v="2018-07-14T00:00:00"/>
        <d v="2018-06-30T00:00:00"/>
        <d v="2018-07-28T00:00:00"/>
        <d v="2018-07-17T00:00:00"/>
        <d v="2018-07-31T00:00:00"/>
        <d v="2018-07-30T00:00:00"/>
        <d v="2018-08-11T00:00:00"/>
        <d v="2018-07-25T00:00:00"/>
        <d v="2018-08-10T00:00:00"/>
        <d v="2018-08-15T00:00:00"/>
        <d v="2018-09-01T00:00:00"/>
        <d v="2018-09-07T00:00:00"/>
        <d v="2018-09-04T00:00:00"/>
        <d v="2018-09-09T00:00:00"/>
        <d v="2018-09-15T00:00:00"/>
        <d v="2018-09-22T00:00:00"/>
        <d v="2018-09-29T00:00:00"/>
        <d v="2018-11-01T00:00:00"/>
        <d v="2018-10-02T00:00:00"/>
        <d v="2018-10-16T00:00:00"/>
        <d v="2018-10-25T00:00:00"/>
        <d v="2018-10-30T00:00:00"/>
        <d v="2018-10-29T00:00:00"/>
        <d v="2018-10-31T00:00:00"/>
        <d v="2018-11-19T00:00:00"/>
        <d v="2018-12-03T00:00:00"/>
        <d v="2018-12-29T00:00:00"/>
        <d v="2019-01-30T00:00:00"/>
        <d v="2018-11-05T00:00:00" u="1"/>
        <d v="2018-07-18T00:00:00" u="1"/>
        <d v="2018-10-20T00:00:00" u="1"/>
        <d v="2019-01-02T00:00:00" u="1"/>
        <d v="2018-09-19T00:00:00" u="1"/>
        <d v="2018-09-11T00:00:00" u="1"/>
        <d v="2018-09-03T00:00:00" u="1"/>
        <d v="2018-12-05T00:00:00" u="1"/>
        <d v="2018-08-18T00:00:00" u="1"/>
        <d v="2018-08-14T00:00:00" u="1"/>
        <d v="2018-10-27T00:00:00" u="1"/>
        <d v="2018-07-21T00:00:00" u="1"/>
        <d v="2018-09-26T00:00:00" u="1"/>
        <d v="2018-10-03T00:00:00" u="1"/>
        <d v="2018-08-01T00:00:00" u="1"/>
        <d v="2018-07-04T00:00:00" u="1"/>
        <d v="2018-10-06T00:00:00" u="1"/>
        <d v="2018-12-19T00:00:00" u="1"/>
        <d v="2018-09-13T00:00:00" u="1"/>
        <d v="2018-09-05T00:00:00" u="1"/>
        <d v="2018-01-23T00:00:00" u="1"/>
        <d v="2018-08-04T00:00:00" u="1"/>
        <d v="2018-10-09T00:00:00" u="1"/>
        <d v="2018-09-08T00:00:00" u="1"/>
        <d v="2018-08-19T00:00:00" u="1"/>
      </sharedItems>
    </cacheField>
    <cacheField name="Дней" numFmtId="1">
      <sharedItems containsSemiMixedTypes="0" containsString="0" containsNumber="1" containsInteger="1" minValue="1" maxValue="45"/>
    </cacheField>
    <cacheField name="%" numFmtId="9">
      <sharedItems containsSemiMixedTypes="0" containsString="0" containsNumber="1" minValue="0" maxValue="1"/>
    </cacheField>
    <cacheField name="Рабочих дней" numFmtId="1">
      <sharedItems containsSemiMixedTypes="0" containsString="0" containsNumber="1" containsInteger="1" minValue="0" maxValue="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1">
  <r>
    <n v="1"/>
    <x v="0"/>
    <m/>
    <x v="0"/>
    <x v="0"/>
    <s v="п.2, 3"/>
    <s v="Департамент финансов Брянской области"/>
    <d v="2017-12-20T00:00:00"/>
    <x v="0"/>
    <n v="10"/>
    <n v="1"/>
    <n v="8"/>
  </r>
  <r>
    <n v="2"/>
    <x v="0"/>
    <m/>
    <x v="1"/>
    <x v="1"/>
    <s v="п.3.1.-3.6"/>
    <s v="Департамент финансов Брянской области"/>
    <d v="2017-12-20T00:00:00"/>
    <x v="0"/>
    <n v="10"/>
    <n v="1"/>
    <n v="8"/>
  </r>
  <r>
    <n v="3"/>
    <x v="1"/>
    <m/>
    <x v="2"/>
    <x v="2"/>
    <s v="ст.346.32, п.1"/>
    <s v="Налогоплательщики - юридические лица и ИП"/>
    <d v="2018-01-25T00:00:00"/>
    <x v="1"/>
    <n v="1"/>
    <n v="1"/>
    <n v="1"/>
  </r>
  <r>
    <n v="4"/>
    <x v="1"/>
    <m/>
    <x v="3"/>
    <x v="2"/>
    <s v="ст.346.9 п.2, ст.346.10"/>
    <s v="Налогоплательщики - юридические лица и ИП"/>
    <d v="2018-01-25T00:00:00"/>
    <x v="1"/>
    <n v="1"/>
    <n v="1"/>
    <n v="1"/>
  </r>
  <r>
    <n v="5"/>
    <x v="1"/>
    <m/>
    <x v="4"/>
    <x v="2"/>
    <s v="ст.397 п.1"/>
    <s v="Налогоплательщики - юридические лица"/>
    <d v="2018-02-01T00:00:00"/>
    <x v="2"/>
    <n v="1"/>
    <n v="1"/>
    <n v="1"/>
  </r>
  <r>
    <n v="6"/>
    <x v="1"/>
    <m/>
    <x v="5"/>
    <x v="2"/>
    <s v="ст.363 п.1"/>
    <s v="Налогоплательщики - юридические лица"/>
    <d v="2018-02-01T00:00:00"/>
    <x v="2"/>
    <n v="1"/>
    <n v="1"/>
    <n v="1"/>
  </r>
  <r>
    <n v="7"/>
    <x v="1"/>
    <m/>
    <x v="6"/>
    <x v="2"/>
    <s v="ст.383 п.1,2"/>
    <s v="Налогоплательщики - юридические лица"/>
    <d v="2018-02-01T00:00:00"/>
    <x v="2"/>
    <n v="1"/>
    <n v="1"/>
    <n v="1"/>
  </r>
  <r>
    <n v="8"/>
    <x v="2"/>
    <m/>
    <x v="7"/>
    <x v="3"/>
    <s v="п.2.3, п.3.1."/>
    <s v="Департамент строительства и архитектуры Брянской области"/>
    <d v="2018-02-15T00:00:00"/>
    <x v="3"/>
    <n v="7"/>
    <n v="1"/>
    <n v="5"/>
  </r>
  <r>
    <n v="9"/>
    <x v="2"/>
    <m/>
    <x v="8"/>
    <x v="3"/>
    <s v="п.2.4., п.3.3.5."/>
    <s v="Главные распорядители бюджетных средств"/>
    <d v="2018-03-11T00:00:00"/>
    <x v="4"/>
    <n v="10"/>
    <n v="1"/>
    <n v="7"/>
  </r>
  <r>
    <n v="10"/>
    <x v="3"/>
    <s v="!"/>
    <x v="9"/>
    <x v="4"/>
    <s v="п.51"/>
    <s v="Департамент экономического развития Брянской области"/>
    <d v="2018-03-15T00:00:00"/>
    <x v="5"/>
    <n v="15"/>
    <n v="1"/>
    <n v="11"/>
  </r>
  <r>
    <n v="11"/>
    <x v="1"/>
    <m/>
    <x v="10"/>
    <x v="2"/>
    <s v="ст.287 п.1, ст. 289 п.3"/>
    <s v="Налогоплательщики - юридические лица"/>
    <d v="2018-03-28T00:00:00"/>
    <x v="6"/>
    <n v="1"/>
    <n v="1"/>
    <n v="1"/>
  </r>
  <r>
    <n v="12"/>
    <x v="4"/>
    <s v="!"/>
    <x v="11"/>
    <x v="5"/>
    <s v="п.1"/>
    <s v="Департамент финансов Брянской области"/>
    <d v="2018-04-01T00:00:00"/>
    <x v="7"/>
    <n v="15"/>
    <n v="1"/>
    <n v="10"/>
  </r>
  <r>
    <n v="13"/>
    <x v="1"/>
    <m/>
    <x v="3"/>
    <x v="2"/>
    <s v="ст.346.9 п.2, ст.346.10"/>
    <s v="Налогоплательщики - юридические лица и ИП"/>
    <d v="2018-04-02T00:00:00"/>
    <x v="8"/>
    <n v="1"/>
    <n v="1"/>
    <n v="1"/>
  </r>
  <r>
    <n v="14"/>
    <x v="3"/>
    <m/>
    <x v="12"/>
    <x v="6"/>
    <s v="п.2"/>
    <s v="Департамент финансов Брянской области"/>
    <d v="2018-04-21T00:00:00"/>
    <x v="9"/>
    <n v="10"/>
    <n v="1"/>
    <n v="6"/>
  </r>
  <r>
    <n v="15"/>
    <x v="1"/>
    <m/>
    <x v="2"/>
    <x v="2"/>
    <s v="ст.346.32, п.1"/>
    <s v="Налогоплательщики - юридические лица и ИП"/>
    <d v="2018-04-25T00:00:00"/>
    <x v="10"/>
    <n v="1"/>
    <n v="1"/>
    <n v="1"/>
  </r>
  <r>
    <n v="16"/>
    <x v="1"/>
    <m/>
    <x v="10"/>
    <x v="2"/>
    <s v="ст.287 п.1, ст. 289 п.3"/>
    <s v="Налогоплательщики - юридические лица"/>
    <d v="2018-04-28T00:00:00"/>
    <x v="11"/>
    <n v="1"/>
    <n v="1"/>
    <n v="0"/>
  </r>
  <r>
    <n v="17"/>
    <x v="4"/>
    <s v="!!"/>
    <x v="13"/>
    <x v="7"/>
    <s v="п.2"/>
    <s v="Департамент финансов Брянской области"/>
    <d v="2018-05-03T00:00:00"/>
    <x v="12"/>
    <n v="30"/>
    <n v="0.35"/>
    <n v="22"/>
  </r>
  <r>
    <n v="18"/>
    <x v="1"/>
    <m/>
    <x v="4"/>
    <x v="2"/>
    <s v="ст.397 п.1"/>
    <s v="Налогоплательщики - юридические лица"/>
    <d v="2018-05-03T00:00:00"/>
    <x v="13"/>
    <n v="1"/>
    <n v="1"/>
    <n v="1"/>
  </r>
  <r>
    <n v="19"/>
    <x v="1"/>
    <m/>
    <x v="5"/>
    <x v="2"/>
    <s v="ст.363 п.1"/>
    <s v="Налогоплательщики - юридические лица"/>
    <d v="2018-05-03T00:00:00"/>
    <x v="13"/>
    <n v="1"/>
    <n v="1"/>
    <n v="1"/>
  </r>
  <r>
    <n v="20"/>
    <x v="1"/>
    <m/>
    <x v="6"/>
    <x v="2"/>
    <s v="ст.383 п.1,2"/>
    <s v="Налогоплательщики - юридические лица"/>
    <d v="2018-05-03T00:00:00"/>
    <x v="13"/>
    <n v="1"/>
    <n v="1"/>
    <n v="1"/>
  </r>
  <r>
    <n v="21"/>
    <x v="3"/>
    <m/>
    <x v="14"/>
    <x v="8"/>
    <s v="п.1"/>
    <s v="Департамент финансов Брянской области"/>
    <d v="2018-05-10T00:00:00"/>
    <x v="14"/>
    <n v="21"/>
    <n v="0.05"/>
    <n v="15"/>
  </r>
  <r>
    <n v="22"/>
    <x v="1"/>
    <m/>
    <x v="15"/>
    <x v="2"/>
    <s v="ст.204, п.3, п.3.1"/>
    <s v="Налогоплательщики - юридические лица"/>
    <d v="2018-05-25T00:00:00"/>
    <x v="15"/>
    <n v="1"/>
    <n v="0"/>
    <n v="1"/>
  </r>
  <r>
    <n v="23"/>
    <x v="2"/>
    <s v="!!!"/>
    <x v="16"/>
    <x v="3"/>
    <s v="п.45"/>
    <s v="Департамент финансов Брянской области"/>
    <d v="2018-06-01T00:00:00"/>
    <x v="12"/>
    <n v="1"/>
    <n v="0"/>
    <n v="1"/>
  </r>
  <r>
    <n v="24"/>
    <x v="2"/>
    <s v="!!"/>
    <x v="17"/>
    <x v="3"/>
    <s v="п.18"/>
    <s v="Департамент финансов Брянской области"/>
    <d v="2018-06-10T00:00:00"/>
    <x v="16"/>
    <n v="7"/>
    <n v="0"/>
    <n v="5"/>
  </r>
  <r>
    <n v="25"/>
    <x v="5"/>
    <s v="!!"/>
    <x v="18"/>
    <x v="9"/>
    <s v="п.8 абз.3-6"/>
    <s v="Отдел финансов, бухгалтерского учета и отчётности администрации Губернатора Брянской области и Правительства Брянской области"/>
    <d v="2018-06-24T00:00:00"/>
    <x v="17"/>
    <n v="21"/>
    <n v="0"/>
    <n v="15"/>
  </r>
  <r>
    <n v="26"/>
    <x v="5"/>
    <m/>
    <x v="19"/>
    <x v="9"/>
    <s v="п.2 абз.2"/>
    <s v="Департамент экономического развития Брянской области"/>
    <d v="2018-06-28T00:00:00"/>
    <x v="18"/>
    <n v="3"/>
    <n v="0.75"/>
    <n v="2"/>
  </r>
  <r>
    <n v="27"/>
    <x v="5"/>
    <m/>
    <x v="20"/>
    <x v="9"/>
    <s v="п.5 абз.5"/>
    <s v="Главные администраторы(администраторы) доходов и главные распорядители средств областного бюджета"/>
    <d v="2018-06-29T00:00:00"/>
    <x v="19"/>
    <n v="30"/>
    <n v="0"/>
    <n v="21"/>
  </r>
  <r>
    <n v="28"/>
    <x v="5"/>
    <m/>
    <x v="21"/>
    <x v="9"/>
    <s v="п.4 абз.1"/>
    <s v="Главные распорядители бюджетных средств"/>
    <d v="2018-07-01T00:00:00"/>
    <x v="17"/>
    <n v="14"/>
    <n v="0"/>
    <n v="10"/>
  </r>
  <r>
    <n v="29"/>
    <x v="5"/>
    <m/>
    <x v="22"/>
    <x v="9"/>
    <s v="п.3 абз.2"/>
    <s v="Главные распорядители бюджетных средств"/>
    <d v="2018-07-08T00:00:00"/>
    <x v="17"/>
    <n v="7"/>
    <n v="0.5"/>
    <n v="5"/>
  </r>
  <r>
    <n v="30"/>
    <x v="5"/>
    <m/>
    <x v="23"/>
    <x v="9"/>
    <s v="п.2 абз.4"/>
    <s v="Департамент экономического развития Брянской области"/>
    <d v="2018-07-10T00:00:00"/>
    <x v="17"/>
    <n v="5"/>
    <n v="0.2"/>
    <n v="4"/>
  </r>
  <r>
    <n v="31"/>
    <x v="5"/>
    <m/>
    <x v="24"/>
    <x v="9"/>
    <s v="п.2 абз.5"/>
    <s v="Департамент экономического развития Брянской области"/>
    <d v="2018-07-12T00:00:00"/>
    <x v="17"/>
    <n v="3"/>
    <n v="0.5"/>
    <n v="2"/>
  </r>
  <r>
    <n v="32"/>
    <x v="5"/>
    <m/>
    <x v="25"/>
    <x v="9"/>
    <s v="п.2 абз. 6"/>
    <s v="Департамент экономического развития Брянской области"/>
    <d v="2018-07-12T00:00:00"/>
    <x v="17"/>
    <n v="3"/>
    <n v="0.75"/>
    <n v="2"/>
  </r>
  <r>
    <n v="33"/>
    <x v="5"/>
    <m/>
    <x v="26"/>
    <x v="9"/>
    <s v="п.8 абз. 116"/>
    <s v="Департамент сельского хозяйства Брянской области"/>
    <d v="2018-07-13T00:00:00"/>
    <x v="20"/>
    <n v="5"/>
    <n v="0"/>
    <n v="3"/>
  </r>
  <r>
    <n v="34"/>
    <x v="5"/>
    <s v="!!"/>
    <x v="27"/>
    <x v="9"/>
    <s v="п.2 абз.7"/>
    <s v="Департамент экономического развития Брянской области"/>
    <d v="2018-07-15T00:00:00"/>
    <x v="19"/>
    <n v="14"/>
    <n v="0.5"/>
    <n v="10"/>
  </r>
  <r>
    <n v="35"/>
    <x v="5"/>
    <s v="!"/>
    <x v="28"/>
    <x v="9"/>
    <s v="п.8 абз. 119"/>
    <s v="Управление имущественных отношений Брянской области"/>
    <d v="2018-07-18T00:00:00"/>
    <x v="21"/>
    <n v="14"/>
    <n v="0"/>
    <n v="10"/>
  </r>
  <r>
    <n v="36"/>
    <x v="5"/>
    <m/>
    <x v="29"/>
    <x v="9"/>
    <s v="п.22 абз.3"/>
    <s v="Департамент финансов Брянской области"/>
    <d v="2018-07-19T00:00:00"/>
    <x v="19"/>
    <n v="10"/>
    <n v="0"/>
    <n v="7"/>
  </r>
  <r>
    <n v="37"/>
    <x v="3"/>
    <m/>
    <x v="30"/>
    <x v="6"/>
    <s v="п.2"/>
    <s v="Департамент финансов Брянской области"/>
    <d v="2018-07-21T00:00:00"/>
    <x v="22"/>
    <n v="10"/>
    <n v="0"/>
    <n v="6"/>
  </r>
  <r>
    <n v="38"/>
    <x v="5"/>
    <m/>
    <x v="31"/>
    <x v="9"/>
    <s v="п.5 абз.4"/>
    <s v="Главные администраторы(администраторы) доходов и главные распорядители средств областного бюджета"/>
    <d v="2018-07-22T00:00:00"/>
    <x v="19"/>
    <n v="7"/>
    <n v="0"/>
    <n v="5"/>
  </r>
  <r>
    <n v="39"/>
    <x v="5"/>
    <s v="!"/>
    <x v="32"/>
    <x v="9"/>
    <s v="п.24 абз.1"/>
    <s v="Главные распорядители бюджетных средств"/>
    <d v="2018-07-22T00:00:00"/>
    <x v="23"/>
    <n v="21"/>
    <n v="0"/>
    <n v="15"/>
  </r>
  <r>
    <n v="40"/>
    <x v="1"/>
    <m/>
    <x v="2"/>
    <x v="2"/>
    <s v="ст.346.32, п.1"/>
    <s v="Налогоплательщики - юридические лица и ИП"/>
    <d v="2018-07-25T00:00:00"/>
    <x v="24"/>
    <n v="1"/>
    <n v="0"/>
    <n v="1"/>
  </r>
  <r>
    <n v="41"/>
    <x v="1"/>
    <m/>
    <x v="3"/>
    <x v="2"/>
    <s v="ст.346.9 п.2, ст.346.10"/>
    <s v="Налогоплательщики - юридические лица и ИП"/>
    <d v="2018-07-25T00:00:00"/>
    <x v="24"/>
    <n v="1"/>
    <n v="0"/>
    <n v="1"/>
  </r>
  <r>
    <n v="42"/>
    <x v="1"/>
    <m/>
    <x v="10"/>
    <x v="2"/>
    <s v="ст.287 п.1, ст. 289 п.3"/>
    <s v="Налогоплательщики - юридические лица"/>
    <d v="2018-07-30T00:00:00"/>
    <x v="22"/>
    <n v="1"/>
    <n v="0"/>
    <n v="1"/>
  </r>
  <r>
    <n v="43"/>
    <x v="1"/>
    <m/>
    <x v="4"/>
    <x v="2"/>
    <s v="ст.397 п.1"/>
    <s v="Налогоплательщики - юридические лица"/>
    <d v="2018-07-30T00:00:00"/>
    <x v="22"/>
    <n v="1"/>
    <n v="0"/>
    <n v="1"/>
  </r>
  <r>
    <n v="44"/>
    <x v="1"/>
    <m/>
    <x v="5"/>
    <x v="2"/>
    <s v="ст.363 п.1"/>
    <s v="Налогоплательщики - юридические лица"/>
    <d v="2018-07-31T00:00:00"/>
    <x v="21"/>
    <n v="1"/>
    <n v="0"/>
    <n v="1"/>
  </r>
  <r>
    <n v="45"/>
    <x v="1"/>
    <m/>
    <x v="6"/>
    <x v="2"/>
    <s v="ст.383 п.1,2"/>
    <s v="Налогоплательщики - юридические лица"/>
    <d v="2018-07-31T00:00:00"/>
    <x v="21"/>
    <n v="1"/>
    <n v="0"/>
    <n v="1"/>
  </r>
  <r>
    <n v="46"/>
    <x v="5"/>
    <m/>
    <x v="33"/>
    <x v="9"/>
    <s v="п.7 абз.2-6"/>
    <s v="Департамент образования и науки Брянской области"/>
    <d v="2018-08-01T00:00:00"/>
    <x v="25"/>
    <n v="10"/>
    <n v="0"/>
    <n v="8"/>
  </r>
  <r>
    <n v="47"/>
    <x v="5"/>
    <m/>
    <x v="34"/>
    <x v="9"/>
    <s v="п.5 абз.8"/>
    <s v="Главные администраторы(администраторы) доходов и главные распорядители средств областного бюджета"/>
    <d v="2018-08-06T00:00:00"/>
    <x v="26"/>
    <n v="10"/>
    <n v="0"/>
    <n v="8"/>
  </r>
  <r>
    <n v="48"/>
    <x v="5"/>
    <m/>
    <x v="35"/>
    <x v="9"/>
    <s v="п.6 абз.2"/>
    <s v="Управление государственного регулирования тарифов Брянской области"/>
    <d v="2018-08-09T00:00:00"/>
    <x v="23"/>
    <n v="3"/>
    <n v="0"/>
    <n v="2"/>
  </r>
  <r>
    <n v="49"/>
    <x v="5"/>
    <m/>
    <x v="36"/>
    <x v="9"/>
    <s v="п.6 абз.3"/>
    <s v="Управление государственного регулирования тарифов Брянской области"/>
    <d v="2018-08-09T00:00:00"/>
    <x v="23"/>
    <n v="3"/>
    <n v="0"/>
    <n v="2"/>
  </r>
  <r>
    <n v="50"/>
    <x v="5"/>
    <m/>
    <x v="37"/>
    <x v="9"/>
    <s v="п.6 абз. 4"/>
    <s v="Управление государственного регулирования тарифов Брянской области"/>
    <d v="2018-08-09T00:00:00"/>
    <x v="23"/>
    <n v="3"/>
    <n v="0"/>
    <n v="2"/>
  </r>
  <r>
    <n v="51"/>
    <x v="5"/>
    <m/>
    <x v="38"/>
    <x v="9"/>
    <s v="п.5 абз.7"/>
    <s v="Главные администраторы(администраторы) доходов и главные распорядители средств областного бюджета"/>
    <d v="2018-08-11T00:00:00"/>
    <x v="26"/>
    <n v="5"/>
    <n v="0.75"/>
    <n v="3"/>
  </r>
  <r>
    <n v="52"/>
    <x v="3"/>
    <m/>
    <x v="39"/>
    <x v="10"/>
    <s v="п.10"/>
    <s v="Департамент финансов Брянской области"/>
    <d v="2018-08-21T00:00:00"/>
    <x v="27"/>
    <n v="12"/>
    <n v="0"/>
    <n v="9"/>
  </r>
  <r>
    <n v="53"/>
    <x v="5"/>
    <m/>
    <x v="40"/>
    <x v="9"/>
    <s v="п.5 абз.17"/>
    <s v="Главные администраторы(администраторы) доходов и главные распорядители средств областного бюджета"/>
    <d v="2018-08-23T00:00:00"/>
    <x v="27"/>
    <n v="10"/>
    <n v="0"/>
    <n v="7"/>
  </r>
  <r>
    <n v="54"/>
    <x v="5"/>
    <m/>
    <x v="41"/>
    <x v="9"/>
    <s v="п.22 абз.16"/>
    <s v="Департамент финансов Брянской области"/>
    <d v="2018-08-25T00:00:00"/>
    <x v="28"/>
    <n v="14"/>
    <n v="0"/>
    <n v="10"/>
  </r>
  <r>
    <n v="55"/>
    <x v="5"/>
    <m/>
    <x v="42"/>
    <x v="9"/>
    <s v="п.22 абз.14-15"/>
    <s v="Департамент финансов Брянской области, Департамент экономического развития Брянской области"/>
    <d v="2018-08-28T00:00:00"/>
    <x v="27"/>
    <n v="5"/>
    <n v="0.75"/>
    <n v="4"/>
  </r>
  <r>
    <n v="56"/>
    <x v="5"/>
    <m/>
    <x v="43"/>
    <x v="9"/>
    <s v="п.8 абз. 133"/>
    <s v="Администрация Губернатора Брянской области и Правительства Брянской области"/>
    <d v="2018-08-29T00:00:00"/>
    <x v="29"/>
    <n v="7"/>
    <n v="0"/>
    <n v="5"/>
  </r>
  <r>
    <n v="57"/>
    <x v="5"/>
    <s v="!!!"/>
    <x v="44"/>
    <x v="9"/>
    <s v="п.22 абз. 17"/>
    <s v="Департамент финансов Брянской области"/>
    <d v="2018-09-05T00:00:00"/>
    <x v="30"/>
    <n v="5"/>
    <n v="0"/>
    <n v="3"/>
  </r>
  <r>
    <n v="58"/>
    <x v="5"/>
    <s v="!!"/>
    <x v="45"/>
    <x v="9"/>
    <s v="п.22 абз. 8-12"/>
    <s v="Департамент финансов Брянской области"/>
    <d v="2018-09-06T00:00:00"/>
    <x v="31"/>
    <n v="10"/>
    <n v="0"/>
    <n v="7"/>
  </r>
  <r>
    <n v="59"/>
    <x v="5"/>
    <s v="!!!"/>
    <x v="46"/>
    <x v="9"/>
    <s v="п.5 абз.10"/>
    <s v="Главные администраторы (администраторы) доходов и главные распорядители средств областного бюджета"/>
    <d v="2018-09-09T00:00:00"/>
    <x v="32"/>
    <n v="14"/>
    <n v="0"/>
    <n v="10"/>
  </r>
  <r>
    <n v="60"/>
    <x v="5"/>
    <m/>
    <x v="47"/>
    <x v="9"/>
    <s v="п.5 абз 11"/>
    <s v="Главные администраторы (администраторы) доходов и главные распорядители средств областного бюджета"/>
    <d v="2018-09-16T00:00:00"/>
    <x v="32"/>
    <n v="7"/>
    <n v="0"/>
    <n v="5"/>
  </r>
  <r>
    <n v="61"/>
    <x v="5"/>
    <m/>
    <x v="48"/>
    <x v="9"/>
    <s v="п.19 абз.2"/>
    <s v="Территориальный фонд обязательного медицинского страхования Брянской области"/>
    <d v="2018-09-16T00:00:00"/>
    <x v="33"/>
    <n v="14"/>
    <n v="0"/>
    <n v="10"/>
  </r>
  <r>
    <n v="62"/>
    <x v="5"/>
    <m/>
    <x v="49"/>
    <x v="9"/>
    <s v="п.20"/>
    <s v="Департамент культуры Брянской области, департамент семьи, социальной и демографической политики Брянской области, департамент здравоохранения Брянской области, департамент образования и науки Брянской области, управление физической культуры и спорта Брянской области"/>
    <d v="2018-09-18T00:00:00"/>
    <x v="34"/>
    <n v="45"/>
    <n v="0"/>
    <n v="33"/>
  </r>
  <r>
    <n v="63"/>
    <x v="5"/>
    <m/>
    <x v="50"/>
    <x v="9"/>
    <s v="п.18 абз.2"/>
    <s v="Департамент строительства и архитектуры Брянской области"/>
    <d v="2018-09-20T00:00:00"/>
    <x v="33"/>
    <n v="10"/>
    <n v="0"/>
    <n v="7"/>
  </r>
  <r>
    <n v="64"/>
    <x v="5"/>
    <m/>
    <x v="51"/>
    <x v="9"/>
    <s v="п.5 абз 15"/>
    <s v="Главные администраторы (администраторы) доходов и главные распорядители средств областного бюджета"/>
    <d v="2018-09-23T00:00:00"/>
    <x v="33"/>
    <n v="7"/>
    <n v="0"/>
    <n v="5"/>
  </r>
  <r>
    <n v="65"/>
    <x v="5"/>
    <m/>
    <x v="52"/>
    <x v="9"/>
    <s v="п.18 абз.3"/>
    <s v="Департамент строительства и архитектуры Брянской области"/>
    <d v="2018-09-23T00:00:00"/>
    <x v="35"/>
    <n v="10"/>
    <n v="0"/>
    <n v="7"/>
  </r>
  <r>
    <n v="66"/>
    <x v="5"/>
    <m/>
    <x v="53"/>
    <x v="9"/>
    <s v="п.3 абз.3"/>
    <s v="Главные распорядители бюджетных средств"/>
    <d v="2018-10-03T00:00:00"/>
    <x v="36"/>
    <n v="14"/>
    <n v="0"/>
    <n v="10"/>
  </r>
  <r>
    <n v="67"/>
    <x v="5"/>
    <s v="!!"/>
    <x v="54"/>
    <x v="9"/>
    <s v="п.19 абз.3"/>
    <s v="Территориальный фонд обязательного медицинского страхования Брянской области"/>
    <d v="2018-10-12T00:00:00"/>
    <x v="37"/>
    <n v="14"/>
    <n v="0"/>
    <n v="10"/>
  </r>
  <r>
    <n v="68"/>
    <x v="3"/>
    <m/>
    <x v="55"/>
    <x v="6"/>
    <s v="п.2"/>
    <s v="Департамент финансов Брянской области"/>
    <d v="2018-10-21T00:00:00"/>
    <x v="38"/>
    <n v="10"/>
    <n v="0"/>
    <n v="7"/>
  </r>
  <r>
    <n v="69"/>
    <x v="1"/>
    <m/>
    <x v="2"/>
    <x v="2"/>
    <s v="ст.346.32, п.1"/>
    <s v="Налогоплательщики - юридические лица и ИП"/>
    <d v="2018-10-25T00:00:00"/>
    <x v="37"/>
    <n v="1"/>
    <n v="0"/>
    <n v="1"/>
  </r>
  <r>
    <n v="70"/>
    <x v="1"/>
    <m/>
    <x v="10"/>
    <x v="2"/>
    <s v="ст.287 п.1, ст. 289 п.3"/>
    <s v="Налогоплательщики - юридические лица"/>
    <d v="2018-10-29T00:00:00"/>
    <x v="39"/>
    <n v="1"/>
    <n v="0"/>
    <n v="1"/>
  </r>
  <r>
    <n v="71"/>
    <x v="1"/>
    <m/>
    <x v="4"/>
    <x v="2"/>
    <s v="ст.397 п.1"/>
    <s v="Налогоплательщики - юридические лица"/>
    <d v="2018-10-30T00:00:00"/>
    <x v="38"/>
    <n v="1"/>
    <n v="0"/>
    <n v="1"/>
  </r>
  <r>
    <n v="72"/>
    <x v="1"/>
    <m/>
    <x v="5"/>
    <x v="2"/>
    <s v="ст.363 п.1"/>
    <s v="Налогоплательщики - юридические лица"/>
    <d v="2018-10-31T00:00:00"/>
    <x v="40"/>
    <n v="1"/>
    <n v="0"/>
    <n v="1"/>
  </r>
  <r>
    <n v="73"/>
    <x v="1"/>
    <m/>
    <x v="6"/>
    <x v="2"/>
    <s v="ст.383 п.1,2"/>
    <s v="Налогоплательщики - юридические лица"/>
    <d v="2018-10-31T00:00:00"/>
    <x v="40"/>
    <n v="1"/>
    <n v="0"/>
    <n v="1"/>
  </r>
  <r>
    <n v="74"/>
    <x v="5"/>
    <s v="!!!"/>
    <x v="56"/>
    <x v="9"/>
    <s v="п.22 абз.23"/>
    <s v="Департамент финансов Брянской области"/>
    <d v="2018-11-01T00:00:00"/>
    <x v="34"/>
    <n v="1"/>
    <n v="0"/>
    <n v="1"/>
  </r>
  <r>
    <n v="75"/>
    <x v="5"/>
    <s v="!!!"/>
    <x v="57"/>
    <x v="11"/>
    <s v="ст.4"/>
    <s v="Брянская областная Дума"/>
    <d v="2018-11-10T00:00:00"/>
    <x v="41"/>
    <n v="10"/>
    <n v="0"/>
    <n v="6"/>
  </r>
  <r>
    <n v="76"/>
    <x v="1"/>
    <m/>
    <x v="58"/>
    <x v="2"/>
    <s v="ст. 397 п.1"/>
    <s v="Налогоплательщики - физические лица"/>
    <d v="2018-12-03T00:00:00"/>
    <x v="42"/>
    <n v="1"/>
    <n v="0"/>
    <n v="1"/>
  </r>
  <r>
    <n v="77"/>
    <x v="1"/>
    <m/>
    <x v="59"/>
    <x v="2"/>
    <s v="ст.363 п.1"/>
    <s v="Налогоплательщики - физические лица"/>
    <d v="2018-12-03T00:00:00"/>
    <x v="42"/>
    <n v="1"/>
    <n v="0"/>
    <n v="1"/>
  </r>
  <r>
    <n v="78"/>
    <x v="1"/>
    <m/>
    <x v="60"/>
    <x v="2"/>
    <s v="ст.409 п.1"/>
    <s v="Налогоплательщики - физические лица"/>
    <d v="2018-12-03T00:00:00"/>
    <x v="42"/>
    <n v="1"/>
    <n v="0"/>
    <n v="1"/>
  </r>
  <r>
    <n v="79"/>
    <x v="5"/>
    <m/>
    <x v="61"/>
    <x v="12"/>
    <s v="п.5"/>
    <s v="Главные распорядители средств областного бюджета, осуществляющие финансовое обеспечение деятельности государственных учреждений Брянской области"/>
    <d v="2018-12-15T00:00:00"/>
    <x v="43"/>
    <n v="15"/>
    <n v="0"/>
    <n v="10"/>
  </r>
  <r>
    <n v="80"/>
    <x v="5"/>
    <m/>
    <x v="62"/>
    <x v="12"/>
    <s v="п.5"/>
    <s v="Главные распорядители средств областного бюджета, осуществляющим финансовое обеспечение деятельности государственных учреждений Брянской области"/>
    <d v="2018-12-15T00:00:00"/>
    <x v="43"/>
    <n v="15"/>
    <n v="0"/>
    <n v="10"/>
  </r>
  <r>
    <n v="81"/>
    <x v="3"/>
    <m/>
    <x v="63"/>
    <x v="6"/>
    <s v="п.2"/>
    <s v="Департамент финансов Брянской области"/>
    <d v="2019-01-21T00:00:00"/>
    <x v="44"/>
    <n v="10"/>
    <n v="0"/>
    <n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4" indent="0" outline="1" outlineData="1" multipleFieldFilters="0" chartFormat="2">
  <location ref="A1:B46" firstHeaderRow="1" firstDataRow="1" firstDataCol="1"/>
  <pivotFields count="12">
    <pivotField showAll="0"/>
    <pivotField showAll="0"/>
    <pivotField showAll="0" defaultSubtotal="0"/>
    <pivotField dataField="1" showAll="0"/>
    <pivotField showAll="0"/>
    <pivotField showAll="0"/>
    <pivotField showAll="0"/>
    <pivotField numFmtId="167" showAll="0"/>
    <pivotField axis="axisRow" numFmtId="167" showAll="0" sortType="ascending" defaultSubtotal="0">
      <items count="70">
        <item x="0"/>
        <item m="1" x="65"/>
        <item x="1"/>
        <item x="2"/>
        <item x="3"/>
        <item x="4"/>
        <item x="6"/>
        <item x="5"/>
        <item x="8"/>
        <item x="7"/>
        <item x="10"/>
        <item x="11"/>
        <item x="9"/>
        <item x="13"/>
        <item x="15"/>
        <item x="14"/>
        <item x="12"/>
        <item x="16"/>
        <item x="18"/>
        <item m="1" x="60"/>
        <item x="17"/>
        <item x="20"/>
        <item m="1" x="46"/>
        <item m="1" x="56"/>
        <item x="24"/>
        <item x="19"/>
        <item x="22"/>
        <item x="21"/>
        <item m="1" x="59"/>
        <item m="1" x="66"/>
        <item x="25"/>
        <item x="23"/>
        <item m="1" x="54"/>
        <item x="26"/>
        <item m="1" x="53"/>
        <item m="1" x="69"/>
        <item x="27"/>
        <item m="1" x="51"/>
        <item x="29"/>
        <item m="1" x="64"/>
        <item x="28"/>
        <item m="1" x="68"/>
        <item x="30"/>
        <item m="1" x="50"/>
        <item m="1" x="63"/>
        <item x="31"/>
        <item m="1" x="49"/>
        <item x="32"/>
        <item m="1" x="57"/>
        <item x="33"/>
        <item x="35"/>
        <item m="1" x="58"/>
        <item m="1" x="61"/>
        <item m="1" x="67"/>
        <item x="36"/>
        <item m="1" x="47"/>
        <item x="37"/>
        <item m="1" x="55"/>
        <item x="39"/>
        <item x="38"/>
        <item x="40"/>
        <item x="34"/>
        <item m="1" x="45"/>
        <item x="41"/>
        <item x="42"/>
        <item m="1" x="52"/>
        <item m="1" x="62"/>
        <item x="43"/>
        <item m="1" x="48"/>
        <item x="44"/>
      </items>
    </pivotField>
    <pivotField numFmtId="1" showAll="0"/>
    <pivotField numFmtId="9" showAll="0"/>
    <pivotField numFmtId="1" showAll="0"/>
  </pivotFields>
  <rowFields count="1">
    <field x="8"/>
  </rowFields>
  <rowItems count="45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20"/>
    </i>
    <i>
      <x v="21"/>
    </i>
    <i>
      <x v="24"/>
    </i>
    <i>
      <x v="25"/>
    </i>
    <i>
      <x v="26"/>
    </i>
    <i>
      <x v="27"/>
    </i>
    <i>
      <x v="30"/>
    </i>
    <i>
      <x v="31"/>
    </i>
    <i>
      <x v="33"/>
    </i>
    <i>
      <x v="36"/>
    </i>
    <i>
      <x v="38"/>
    </i>
    <i>
      <x v="40"/>
    </i>
    <i>
      <x v="42"/>
    </i>
    <i>
      <x v="45"/>
    </i>
    <i>
      <x v="47"/>
    </i>
    <i>
      <x v="49"/>
    </i>
    <i>
      <x v="50"/>
    </i>
    <i>
      <x v="54"/>
    </i>
    <i>
      <x v="56"/>
    </i>
    <i>
      <x v="58"/>
    </i>
    <i>
      <x v="59"/>
    </i>
    <i>
      <x v="60"/>
    </i>
    <i>
      <x v="61"/>
    </i>
    <i>
      <x v="63"/>
    </i>
    <i>
      <x v="64"/>
    </i>
    <i>
      <x v="67"/>
    </i>
    <i>
      <x v="69"/>
    </i>
  </rowItems>
  <colItems count="1">
    <i/>
  </colItems>
  <dataFields count="1">
    <dataField name="Count of Действие" fld="3" subtotal="count" baseField="0" baseItem="0"/>
  </dataFields>
  <formats count="9">
    <format dxfId="8">
      <pivotArea dataOnly="0" labelOnly="1" fieldPosition="0">
        <references count="1">
          <reference field="8" count="0"/>
        </references>
      </pivotArea>
    </format>
    <format dxfId="7">
      <pivotArea type="all" dataOnly="0" outline="0" fieldPosition="0"/>
    </format>
    <format dxfId="6">
      <pivotArea type="all" dataOnly="0" outline="0" fieldPosition="0"/>
    </format>
    <format dxfId="5">
      <pivotArea type="all" dataOnly="0" outline="0" fieldPosition="0"/>
    </format>
    <format dxfId="4">
      <pivotArea type="all" dataOnly="0" outline="0" fieldPosition="0"/>
    </format>
    <format dxfId="3">
      <pivotArea field="8" type="button" dataOnly="0" labelOnly="1" outline="0" axis="axisRow" fieldPosition="0"/>
    </format>
    <format dxfId="2">
      <pivotArea dataOnly="0" labelOnly="1" outline="0" axis="axisValues" fieldPosition="0"/>
    </format>
    <format dxfId="1">
      <pivotArea type="all" dataOnly="0" outline="0" fieldPosition="0"/>
    </format>
    <format dxfId="0">
      <pivotArea type="all" dataOnly="0" outline="0" fieldPosition="0"/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4" indent="0" outline="1" outlineData="1" multipleFieldFilters="0">
  <location ref="AF1:AG82" firstHeaderRow="1" firstDataRow="1" firstDataCol="2"/>
  <pivotFields count="12">
    <pivotField showAll="0"/>
    <pivotField showAll="0"/>
    <pivotField showAll="0"/>
    <pivotField axis="axisRow" showAll="0">
      <items count="65">
        <item x="56"/>
        <item x="16"/>
        <item x="61"/>
        <item x="24"/>
        <item x="29"/>
        <item x="11"/>
        <item x="41"/>
        <item x="12"/>
        <item x="30"/>
        <item x="55"/>
        <item x="63"/>
        <item x="20"/>
        <item x="14"/>
        <item x="57"/>
        <item x="17"/>
        <item x="49"/>
        <item x="45"/>
        <item x="39"/>
        <item x="43"/>
        <item x="32"/>
        <item x="27"/>
        <item x="26"/>
        <item x="38"/>
        <item x="31"/>
        <item x="8"/>
        <item x="13"/>
        <item x="7"/>
        <item x="9"/>
        <item x="42"/>
        <item x="48"/>
        <item x="19"/>
        <item x="37"/>
        <item x="36"/>
        <item x="35"/>
        <item x="54"/>
        <item x="28"/>
        <item x="50"/>
        <item x="47"/>
        <item x="40"/>
        <item x="53"/>
        <item x="34"/>
        <item x="51"/>
        <item x="46"/>
        <item x="33"/>
        <item x="18"/>
        <item x="21"/>
        <item x="22"/>
        <item x="52"/>
        <item x="25"/>
        <item x="0"/>
        <item x="44"/>
        <item x="58"/>
        <item x="60"/>
        <item x="59"/>
        <item x="15"/>
        <item x="4"/>
        <item x="2"/>
        <item x="3"/>
        <item x="6"/>
        <item x="10"/>
        <item x="5"/>
        <item x="23"/>
        <item x="62"/>
        <item x="1"/>
        <item t="default"/>
      </items>
    </pivotField>
    <pivotField showAll="0"/>
    <pivotField showAll="0"/>
    <pivotField showAll="0"/>
    <pivotField numFmtId="168" showAll="0"/>
    <pivotField axis="axisRow" numFmtId="171" outline="0" showAll="0" includeNewItemsInFilter="1" defaultSubtotal="0">
      <items count="70">
        <item x="0"/>
        <item m="1" x="65"/>
        <item x="1"/>
        <item x="2"/>
        <item x="3"/>
        <item x="4"/>
        <item x="6"/>
        <item x="5"/>
        <item x="8"/>
        <item x="7"/>
        <item x="10"/>
        <item x="11"/>
        <item x="9"/>
        <item x="13"/>
        <item x="15"/>
        <item x="14"/>
        <item x="12"/>
        <item x="16"/>
        <item x="18"/>
        <item m="1" x="60"/>
        <item x="17"/>
        <item x="20"/>
        <item m="1" x="46"/>
        <item m="1" x="56"/>
        <item x="24"/>
        <item x="19"/>
        <item x="22"/>
        <item x="21"/>
        <item m="1" x="59"/>
        <item m="1" x="66"/>
        <item x="25"/>
        <item x="23"/>
        <item m="1" x="54"/>
        <item x="26"/>
        <item m="1" x="53"/>
        <item m="1" x="69"/>
        <item x="27"/>
        <item m="1" x="51"/>
        <item x="29"/>
        <item m="1" x="64"/>
        <item x="28"/>
        <item m="1" x="68"/>
        <item x="30"/>
        <item m="1" x="50"/>
        <item m="1" x="63"/>
        <item x="31"/>
        <item m="1" x="49"/>
        <item x="32"/>
        <item m="1" x="57"/>
        <item x="33"/>
        <item x="35"/>
        <item m="1" x="58"/>
        <item m="1" x="61"/>
        <item m="1" x="67"/>
        <item x="36"/>
        <item m="1" x="47"/>
        <item x="37"/>
        <item m="1" x="55"/>
        <item x="39"/>
        <item x="38"/>
        <item x="40"/>
        <item x="34"/>
        <item m="1" x="45"/>
        <item x="41"/>
        <item x="42"/>
        <item m="1" x="52"/>
        <item m="1" x="62"/>
        <item x="43"/>
        <item m="1" x="48"/>
        <item x="4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umFmtId="1" showAll="0"/>
    <pivotField numFmtId="9" showAll="0"/>
    <pivotField numFmtId="1" showAll="0"/>
  </pivotFields>
  <rowFields count="2">
    <field x="8"/>
    <field x="3"/>
  </rowFields>
  <rowItems count="81">
    <i>
      <x/>
      <x v="49"/>
    </i>
    <i r="1">
      <x v="63"/>
    </i>
    <i>
      <x v="2"/>
      <x v="56"/>
    </i>
    <i r="1">
      <x v="57"/>
    </i>
    <i>
      <x v="3"/>
      <x v="55"/>
    </i>
    <i r="1">
      <x v="58"/>
    </i>
    <i r="1">
      <x v="60"/>
    </i>
    <i>
      <x v="4"/>
      <x v="26"/>
    </i>
    <i>
      <x v="5"/>
      <x v="24"/>
    </i>
    <i>
      <x v="6"/>
      <x v="59"/>
    </i>
    <i>
      <x v="7"/>
      <x v="27"/>
    </i>
    <i>
      <x v="8"/>
      <x v="57"/>
    </i>
    <i>
      <x v="9"/>
      <x v="5"/>
    </i>
    <i>
      <x v="10"/>
      <x v="56"/>
    </i>
    <i>
      <x v="11"/>
      <x v="59"/>
    </i>
    <i>
      <x v="12"/>
      <x v="7"/>
    </i>
    <i>
      <x v="13"/>
      <x v="55"/>
    </i>
    <i r="1">
      <x v="58"/>
    </i>
    <i r="1">
      <x v="60"/>
    </i>
    <i>
      <x v="14"/>
      <x v="54"/>
    </i>
    <i>
      <x v="15"/>
      <x v="12"/>
    </i>
    <i>
      <x v="16"/>
      <x v="1"/>
    </i>
    <i r="1">
      <x v="25"/>
    </i>
    <i>
      <x v="17"/>
      <x v="14"/>
    </i>
    <i>
      <x v="18"/>
      <x v="30"/>
    </i>
    <i>
      <x v="20"/>
      <x v="3"/>
    </i>
    <i r="1">
      <x v="44"/>
    </i>
    <i r="1">
      <x v="45"/>
    </i>
    <i r="1">
      <x v="46"/>
    </i>
    <i r="1">
      <x v="48"/>
    </i>
    <i r="1">
      <x v="61"/>
    </i>
    <i>
      <x v="21"/>
      <x v="21"/>
    </i>
    <i>
      <x v="24"/>
      <x v="56"/>
    </i>
    <i r="1">
      <x v="57"/>
    </i>
    <i>
      <x v="25"/>
      <x v="4"/>
    </i>
    <i r="1">
      <x v="11"/>
    </i>
    <i r="1">
      <x v="20"/>
    </i>
    <i r="1">
      <x v="23"/>
    </i>
    <i>
      <x v="26"/>
      <x v="8"/>
    </i>
    <i r="1">
      <x v="55"/>
    </i>
    <i r="1">
      <x v="59"/>
    </i>
    <i>
      <x v="27"/>
      <x v="35"/>
    </i>
    <i r="1">
      <x v="58"/>
    </i>
    <i r="1">
      <x v="60"/>
    </i>
    <i>
      <x v="30"/>
      <x v="43"/>
    </i>
    <i>
      <x v="31"/>
      <x v="19"/>
    </i>
    <i r="1">
      <x v="31"/>
    </i>
    <i r="1">
      <x v="32"/>
    </i>
    <i r="1">
      <x v="33"/>
    </i>
    <i>
      <x v="33"/>
      <x v="22"/>
    </i>
    <i r="1">
      <x v="40"/>
    </i>
    <i>
      <x v="36"/>
      <x v="17"/>
    </i>
    <i r="1">
      <x v="28"/>
    </i>
    <i r="1">
      <x v="38"/>
    </i>
    <i>
      <x v="38"/>
      <x v="18"/>
    </i>
    <i>
      <x v="40"/>
      <x v="6"/>
    </i>
    <i>
      <x v="42"/>
      <x v="50"/>
    </i>
    <i>
      <x v="45"/>
      <x v="16"/>
    </i>
    <i>
      <x v="47"/>
      <x v="37"/>
    </i>
    <i r="1">
      <x v="42"/>
    </i>
    <i>
      <x v="49"/>
      <x v="29"/>
    </i>
    <i r="1">
      <x v="36"/>
    </i>
    <i r="1">
      <x v="41"/>
    </i>
    <i>
      <x v="50"/>
      <x v="47"/>
    </i>
    <i>
      <x v="54"/>
      <x v="39"/>
    </i>
    <i>
      <x v="56"/>
      <x v="34"/>
    </i>
    <i r="1">
      <x v="56"/>
    </i>
    <i>
      <x v="58"/>
      <x v="59"/>
    </i>
    <i>
      <x v="59"/>
      <x v="9"/>
    </i>
    <i r="1">
      <x v="55"/>
    </i>
    <i>
      <x v="60"/>
      <x v="58"/>
    </i>
    <i r="1">
      <x v="60"/>
    </i>
    <i>
      <x v="61"/>
      <x/>
    </i>
    <i r="1">
      <x v="15"/>
    </i>
    <i>
      <x v="63"/>
      <x v="13"/>
    </i>
    <i>
      <x v="64"/>
      <x v="51"/>
    </i>
    <i r="1">
      <x v="52"/>
    </i>
    <i r="1">
      <x v="53"/>
    </i>
    <i>
      <x v="67"/>
      <x v="2"/>
    </i>
    <i r="1">
      <x v="62"/>
    </i>
    <i>
      <x v="69"/>
      <x v="10"/>
    </i>
  </rowItems>
  <colItems count="1">
    <i/>
  </colItems>
  <formats count="2">
    <format dxfId="10">
      <pivotArea type="all" dataOnly="0" outline="0" fieldPosition="0"/>
    </format>
    <format dxfId="9">
      <pivotArea type="all" dataOnly="0" outline="0" fieldPosition="0"/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6" minRefreshableVersion="3" useAutoFormatting="1" rowGrandTotals="0" colGrandTotals="0" itemPrintTitles="1" createdVersion="4" indent="0" outline="1" outlineData="1" multipleFieldFilters="0">
  <location ref="D1:E7" firstHeaderRow="1" firstDataRow="1" firstDataCol="1"/>
  <pivotFields count="12">
    <pivotField showAll="0"/>
    <pivotField axis="axisRow" showAll="0">
      <items count="7">
        <item x="2"/>
        <item x="3"/>
        <item x="4"/>
        <item x="1"/>
        <item x="0"/>
        <item x="5"/>
        <item t="default"/>
      </items>
    </pivotField>
    <pivotField showAll="0"/>
    <pivotField dataField="1" showAll="0"/>
    <pivotField showAll="0"/>
    <pivotField showAll="0"/>
    <pivotField showAll="0"/>
    <pivotField numFmtId="168" showAll="0"/>
    <pivotField numFmtId="169" showAll="0">
      <items count="71">
        <item x="0"/>
        <item m="1" x="65"/>
        <item x="1"/>
        <item x="2"/>
        <item x="3"/>
        <item x="4"/>
        <item x="6"/>
        <item x="5"/>
        <item x="8"/>
        <item x="7"/>
        <item x="10"/>
        <item x="11"/>
        <item x="9"/>
        <item x="13"/>
        <item x="15"/>
        <item x="14"/>
        <item x="12"/>
        <item x="16"/>
        <item x="18"/>
        <item m="1" x="60"/>
        <item x="17"/>
        <item x="20"/>
        <item m="1" x="46"/>
        <item m="1" x="56"/>
        <item x="24"/>
        <item x="19"/>
        <item x="22"/>
        <item x="21"/>
        <item m="1" x="59"/>
        <item m="1" x="66"/>
        <item x="25"/>
        <item x="23"/>
        <item m="1" x="54"/>
        <item x="26"/>
        <item m="1" x="53"/>
        <item m="1" x="69"/>
        <item x="27"/>
        <item m="1" x="51"/>
        <item x="29"/>
        <item m="1" x="64"/>
        <item x="28"/>
        <item m="1" x="68"/>
        <item x="30"/>
        <item m="1" x="50"/>
        <item m="1" x="63"/>
        <item x="31"/>
        <item m="1" x="49"/>
        <item x="32"/>
        <item m="1" x="57"/>
        <item x="33"/>
        <item x="35"/>
        <item m="1" x="58"/>
        <item m="1" x="61"/>
        <item m="1" x="67"/>
        <item x="36"/>
        <item m="1" x="47"/>
        <item x="37"/>
        <item m="1" x="55"/>
        <item x="39"/>
        <item x="38"/>
        <item x="40"/>
        <item x="34"/>
        <item m="1" x="45"/>
        <item x="41"/>
        <item x="42"/>
        <item m="1" x="52"/>
        <item m="1" x="62"/>
        <item x="43"/>
        <item m="1" x="48"/>
        <item x="44"/>
        <item t="default"/>
      </items>
    </pivotField>
    <pivotField numFmtId="1" showAll="0"/>
    <pivotField numFmtId="9" showAll="0"/>
    <pivotField numFmtId="1" showAll="0"/>
  </pivotFields>
  <rowFields count="1">
    <field x="1"/>
  </rowFields>
  <rowItems count="6">
    <i>
      <x/>
    </i>
    <i>
      <x v="1"/>
    </i>
    <i>
      <x v="2"/>
    </i>
    <i>
      <x v="3"/>
    </i>
    <i>
      <x v="4"/>
    </i>
    <i>
      <x v="5"/>
    </i>
  </rowItems>
  <colItems count="1">
    <i/>
  </colItems>
  <dataFields count="1">
    <dataField name="Count of Действие" fld="3" subtotal="count" baseField="0" baseItem="0"/>
  </dataFields>
  <formats count="9">
    <format dxfId="19">
      <pivotArea type="all" dataOnly="0" outline="0" fieldPosition="0"/>
    </format>
    <format dxfId="18">
      <pivotArea field="1" type="button" dataOnly="0" labelOnly="1" outline="0" axis="axisRow" fieldPosition="0"/>
    </format>
    <format dxfId="17">
      <pivotArea dataOnly="0" labelOnly="1" grandRow="1" outline="0" fieldPosition="0"/>
    </format>
    <format dxfId="16">
      <pivotArea outline="0" collapsedLevelsAreSubtotals="1" fieldPosition="0">
        <references count="1">
          <reference field="4294967294" count="1" selected="0">
            <x v="0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4">
      <pivotArea field="1" type="button" dataOnly="0" labelOnly="1" outline="0" axis="axisRow" fieldPosition="0"/>
    </format>
    <format dxfId="13">
      <pivotArea dataOnly="0" labelOnly="1" outline="0" axis="axisValues" fieldPosition="0"/>
    </format>
    <format dxfId="12">
      <pivotArea type="all" dataOnly="0" outline="0" fieldPosition="0"/>
    </format>
    <format dxfId="11">
      <pivotArea type="all" dataOnly="0" outline="0" fieldPosition="0"/>
    </format>
  </formats>
  <pivotTableStyleInfo name="PivotStyleMedium7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" name="DataTable" displayName="DataTable" ref="A7:L103" headerRowDxfId="252" dataDxfId="250" totalsRowDxfId="249" headerRowBorderDxfId="251" headerRowCellStyle="Percent 2">
  <sortState ref="A8:L103">
    <sortCondition ref="I8:I103"/>
  </sortState>
  <tableColumns count="12">
    <tableColumn id="1" name="№" totalsRowLabel="Total" dataDxfId="248" totalsRowDxfId="247" dataCellStyle="Normal 2">
      <calculatedColumnFormula>IF(ISERROR(VALUE(SUBSTITUTE(prevWBS,".",""))),"0.1",IF(ISERROR(FIND("`",SUBSTITUTE(prevWBS,".","`",1))),prevWBS&amp;".1",LEFT(prevWBS,FIND("`",SUBSTITUTE(prevWBS,".","`",1)))&amp;IF(ISERROR(FIND("`",SUBSTITUTE(prevWBS,".","`",2))),VALUE(RIGHT(prevWBS,LEN(prevWBS)-FIND("`",SUBSTITUTE(prevWBS,".","`",1))))+1,VALUE(MID(prevWBS,FIND("`",SUBSTITUTE(prevWBS,".","`",1))+1,(FIND("`",SUBSTITUTE(prevWBS,".","`",2))-FIND("`",SUBSTITUTE(prevWBS,".","`",1))-1)))+1)))</calculatedColumnFormula>
    </tableColumn>
    <tableColumn id="2" name="Категория" dataDxfId="246" totalsRowDxfId="245" dataCellStyle="Normal 2"/>
    <tableColumn id="12" name="!" dataDxfId="244" totalsRowDxfId="243" dataCellStyle="Normal 2"/>
    <tableColumn id="3" name="Действие" dataDxfId="242" totalsRowDxfId="241" dataCellStyle="Normal 2"/>
    <tableColumn id="4" name="Основание (НПА)" dataDxfId="240" totalsRowDxfId="239" dataCellStyle="Normal 2"/>
    <tableColumn id="5" name="Часть" dataDxfId="238" dataCellStyle="Normal 2"/>
    <tableColumn id="6" name="Ответственный" dataDxfId="237" totalsRowDxfId="236" dataCellStyle="Normal 2"/>
    <tableColumn id="7" name="Начало" dataDxfId="235" totalsRowDxfId="234" dataCellStyle="Normal 2"/>
    <tableColumn id="8" name="Окончание" dataDxfId="233" totalsRowDxfId="232" dataCellStyle="Normal 2">
      <calculatedColumnFormula>IF(ISBLANK(H8)," - ",IF(J8=0,H8,H8+J8-1))</calculatedColumnFormula>
    </tableColumn>
    <tableColumn id="9" name="Дней" dataDxfId="231" totalsRowDxfId="230" dataCellStyle="Normal 2"/>
    <tableColumn id="10" name="%" dataDxfId="229" totalsRowDxfId="228" dataCellStyle="Percent 2"/>
    <tableColumn id="11" name="Рабочих дней" totalsRowFunction="sum" dataDxfId="227" totalsRowDxfId="226" dataCellStyle="Normal 2">
      <calculatedColumnFormula>IF(OR(I8=0,H8=0)," - ",NETWORKDAYS(H8,I8))</calculatedColumnFormula>
    </tableColumn>
  </tableColumns>
  <tableStyleInfo name="depfin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howOutlineSymbols="0"/>
    <pageSetUpPr fitToPage="1"/>
  </sheetPr>
  <dimension ref="A1:D12"/>
  <sheetViews>
    <sheetView showGridLines="0" showRowColHeaders="0" tabSelected="1" showOutlineSymbols="0" zoomScaleNormal="100" zoomScaleSheetLayoutView="70" workbookViewId="0">
      <selection sqref="A1:A2"/>
    </sheetView>
  </sheetViews>
  <sheetFormatPr defaultRowHeight="18" x14ac:dyDescent="0.35"/>
  <cols>
    <col min="1" max="1" width="60.625" style="1" customWidth="1"/>
    <col min="2" max="2" width="2.375" style="1" customWidth="1"/>
    <col min="3" max="3" width="18.125" style="1" customWidth="1"/>
    <col min="4" max="4" width="72.875" style="1" customWidth="1"/>
    <col min="5" max="16384" width="9" style="1"/>
  </cols>
  <sheetData>
    <row r="1" spans="1:4" ht="78.75" customHeight="1" x14ac:dyDescent="0.35">
      <c r="A1" s="151" t="s">
        <v>136</v>
      </c>
      <c r="B1" s="152"/>
      <c r="C1" s="114">
        <f t="array" ref="C1">SUM(IF(ISBLANK(DataTable[Основание (НПА)]),0,1/COUNTIF(DataTable[Основание (НПА)],DataTable[Основание (НПА)])))</f>
        <v>13.000000000000025</v>
      </c>
      <c r="D1" s="2" t="s">
        <v>9</v>
      </c>
    </row>
    <row r="2" spans="1:4" ht="78.75" customHeight="1" x14ac:dyDescent="0.35">
      <c r="A2" s="151"/>
      <c r="B2" s="152"/>
      <c r="C2" s="114">
        <f t="array" ref="C2">SUM(IF(ISBLANK(DataTable[Окончание]),0,1/COUNTIF(DataTable[Окончание],DataTable[Окончание])))</f>
        <v>51.000000000000014</v>
      </c>
      <c r="D2" s="2" t="s">
        <v>280</v>
      </c>
    </row>
    <row r="3" spans="1:4" ht="26.25" customHeight="1" x14ac:dyDescent="0.35">
      <c r="A3" s="125" t="s">
        <v>282</v>
      </c>
      <c r="B3" s="152"/>
      <c r="C3" s="153">
        <f>COUNTA(DataTable[Действие])</f>
        <v>96</v>
      </c>
      <c r="D3" s="149" t="s">
        <v>275</v>
      </c>
    </row>
    <row r="4" spans="1:4" ht="26.25" customHeight="1" x14ac:dyDescent="0.35">
      <c r="A4" s="125" t="s">
        <v>283</v>
      </c>
      <c r="B4" s="152"/>
      <c r="C4" s="153"/>
      <c r="D4" s="149"/>
    </row>
    <row r="5" spans="1:4" ht="26.25" customHeight="1" x14ac:dyDescent="0.35">
      <c r="A5" s="125" t="s">
        <v>284</v>
      </c>
      <c r="B5" s="152"/>
      <c r="C5" s="153"/>
      <c r="D5" s="149"/>
    </row>
    <row r="6" spans="1:4" ht="26.25" customHeight="1" x14ac:dyDescent="0.35">
      <c r="A6" s="125" t="s">
        <v>285</v>
      </c>
      <c r="B6" s="152"/>
      <c r="C6" s="154">
        <f>SUMPRODUCT(DataTable[Рабочих дней],DataTable[%])/SUM(DataTable[Рабочих дней])</f>
        <v>0.24867724867724866</v>
      </c>
      <c r="D6" s="149" t="s">
        <v>11</v>
      </c>
    </row>
    <row r="7" spans="1:4" ht="26.25" customHeight="1" x14ac:dyDescent="0.35">
      <c r="A7" s="125" t="s">
        <v>286</v>
      </c>
      <c r="B7" s="152"/>
      <c r="C7" s="154"/>
      <c r="D7" s="149"/>
    </row>
    <row r="8" spans="1:4" ht="26.25" customHeight="1" x14ac:dyDescent="0.35">
      <c r="A8" s="150">
        <v>2018</v>
      </c>
      <c r="B8" s="152"/>
      <c r="C8" s="154"/>
      <c r="D8" s="149"/>
    </row>
    <row r="9" spans="1:4" ht="78.75" customHeight="1" x14ac:dyDescent="0.35">
      <c r="A9" s="150"/>
      <c r="B9" s="152"/>
      <c r="C9" s="114">
        <f>SUM(DataTable[Рабочих дней])</f>
        <v>567</v>
      </c>
      <c r="D9" s="2" t="s">
        <v>10</v>
      </c>
    </row>
    <row r="10" spans="1:4" ht="64.5" customHeight="1" x14ac:dyDescent="0.35">
      <c r="A10" s="57"/>
      <c r="B10" s="152"/>
      <c r="C10" s="3"/>
      <c r="D10" s="2"/>
    </row>
    <row r="11" spans="1:4" ht="64.5" customHeight="1" x14ac:dyDescent="0.35">
      <c r="A11" s="57"/>
      <c r="B11" s="152"/>
      <c r="C11" s="3"/>
      <c r="D11" s="2"/>
    </row>
    <row r="12" spans="1:4" ht="61.5" x14ac:dyDescent="0.35">
      <c r="A12" s="58" t="s">
        <v>6</v>
      </c>
      <c r="B12" s="152"/>
      <c r="C12" s="3"/>
      <c r="D12" s="2"/>
    </row>
  </sheetData>
  <sheetProtection password="8424" sheet="1" objects="1" scenarios="1" autoFilter="0"/>
  <mergeCells count="8">
    <mergeCell ref="D6:D8"/>
    <mergeCell ref="D3:D5"/>
    <mergeCell ref="A8:A9"/>
    <mergeCell ref="A1:A2"/>
    <mergeCell ref="B1:B8"/>
    <mergeCell ref="B9:B12"/>
    <mergeCell ref="C3:C5"/>
    <mergeCell ref="C6:C8"/>
  </mergeCells>
  <hyperlinks>
    <hyperlink ref="A3" location="'эпапы, сроки'!A1" display="Этапы и сроки (ввод контрольных сроков)"/>
    <hyperlink ref="A4" location="burndown!A1" display="Burndown (оценка загруженности)"/>
    <hyperlink ref="A5" location="'этапы БЦ'!A1" display="Этапы БЦ (исполнение этапов бюджетного цикла)"/>
    <hyperlink ref="A6" location="'исполнение НПА'!A1" display="Исполнение НПА (степень исполнения НПА)"/>
    <hyperlink ref="A7" location="timeline!A1" display="Timeline (график таймлайн)"/>
  </hyperlinks>
  <pageMargins left="0.7" right="0.4" top="0.75" bottom="0.75" header="0.3" footer="0.3"/>
  <pageSetup paperSize="9"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Q103"/>
  <sheetViews>
    <sheetView showGridLines="0" showRowColHeaders="0" zoomScaleNormal="100" zoomScaleSheetLayoutView="55" workbookViewId="0">
      <pane ySplit="7" topLeftCell="A8" activePane="bottomLeft" state="frozen"/>
      <selection pane="bottomLeft"/>
    </sheetView>
  </sheetViews>
  <sheetFormatPr defaultColWidth="8" defaultRowHeight="20.25" x14ac:dyDescent="0.25"/>
  <cols>
    <col min="1" max="1" width="6" style="21" customWidth="1"/>
    <col min="2" max="2" width="41.875" style="22" customWidth="1"/>
    <col min="3" max="3" width="4.625" style="22" customWidth="1"/>
    <col min="4" max="4" width="120.25" style="26" customWidth="1"/>
    <col min="5" max="5" width="26.875" style="27" customWidth="1"/>
    <col min="6" max="6" width="13.25" style="27" customWidth="1"/>
    <col min="7" max="7" width="26.875" style="27" customWidth="1"/>
    <col min="8" max="8" width="11.125" style="5" customWidth="1"/>
    <col min="9" max="9" width="11.875" style="5" customWidth="1"/>
    <col min="10" max="10" width="6.375" style="5" customWidth="1"/>
    <col min="11" max="11" width="5.25" style="5" customWidth="1"/>
    <col min="12" max="12" width="9.875" style="5" customWidth="1"/>
    <col min="13" max="13" width="1.625" style="4" customWidth="1"/>
    <col min="14" max="69" width="3.375" style="5" customWidth="1"/>
    <col min="70" max="16384" width="8" style="6"/>
  </cols>
  <sheetData>
    <row r="1" spans="1:69" ht="48" customHeight="1" x14ac:dyDescent="0.25">
      <c r="A1" s="71" t="s">
        <v>0</v>
      </c>
      <c r="B1" s="7"/>
      <c r="C1" s="7"/>
      <c r="D1" s="7"/>
      <c r="E1" s="8"/>
      <c r="F1" s="8"/>
      <c r="G1" s="8"/>
      <c r="H1" s="7"/>
      <c r="I1" s="7"/>
      <c r="J1" s="7"/>
      <c r="K1" s="7"/>
      <c r="L1" s="7"/>
      <c r="M1" s="9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69" ht="18" customHeight="1" x14ac:dyDescent="0.25">
      <c r="A2" s="10" t="str">
        <f t="array" aca="1" ref="A2" ca="1">"   Всего действий: "&amp;COUNTA(DataTable[Действие])&amp;"       Активных: "&amp;SUM(--(DataTable[Начало]&lt;=today)*--(DataTable[%]&lt;1))&amp;"       Просроченных: "&amp;SUM(--(DataTable[Окончание]&lt;=today)*--(DataTable[%]&lt;1))</f>
        <v xml:space="preserve">   Всего действий: 96       Активных: 13       Просроченных: 1</v>
      </c>
      <c r="B2" s="11"/>
      <c r="C2" s="11"/>
      <c r="D2" s="12"/>
      <c r="E2" s="10"/>
      <c r="F2" s="10"/>
      <c r="G2" s="10"/>
      <c r="H2" s="13"/>
      <c r="I2" s="13"/>
      <c r="K2" s="14"/>
    </row>
    <row r="3" spans="1:69" x14ac:dyDescent="0.25">
      <c r="A3" s="15"/>
      <c r="B3" s="11"/>
      <c r="C3" s="11"/>
      <c r="D3" s="16"/>
      <c r="E3" s="17"/>
      <c r="F3" s="18"/>
      <c r="G3" s="18"/>
      <c r="H3" s="19"/>
      <c r="I3" s="19"/>
      <c r="J3" s="19"/>
      <c r="K3" s="14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</row>
    <row r="4" spans="1:69" ht="17.25" customHeight="1" x14ac:dyDescent="0.25">
      <c r="D4" s="23"/>
      <c r="E4" s="18"/>
      <c r="F4" s="18"/>
      <c r="G4" s="159">
        <f ca="1">TODAY()</f>
        <v>43287</v>
      </c>
      <c r="H4" s="159"/>
      <c r="I4" s="122"/>
      <c r="J4" s="123" t="s">
        <v>18</v>
      </c>
      <c r="K4" s="145">
        <v>1</v>
      </c>
      <c r="L4" s="122"/>
      <c r="M4" s="124"/>
      <c r="N4" s="158" t="str">
        <f ca="1">"Неделя "&amp;(N6-($G$4-WEEKDAY($G$4,1)+2))/7+1</f>
        <v>Неделя 1</v>
      </c>
      <c r="O4" s="158"/>
      <c r="P4" s="158"/>
      <c r="Q4" s="158"/>
      <c r="R4" s="158"/>
      <c r="S4" s="158"/>
      <c r="T4" s="158"/>
      <c r="U4" s="158" t="str">
        <f ca="1">"Неделя "&amp;(U6-($G$4-WEEKDAY($G$4,1)+2))/7+1</f>
        <v>Неделя 2</v>
      </c>
      <c r="V4" s="158"/>
      <c r="W4" s="158"/>
      <c r="X4" s="158"/>
      <c r="Y4" s="158"/>
      <c r="Z4" s="158"/>
      <c r="AA4" s="158"/>
      <c r="AB4" s="158" t="str">
        <f ca="1">"Неделя "&amp;(AB6-($G$4-WEEKDAY($G$4,1)+2))/7+1</f>
        <v>Неделя 3</v>
      </c>
      <c r="AC4" s="158"/>
      <c r="AD4" s="158"/>
      <c r="AE4" s="158"/>
      <c r="AF4" s="158"/>
      <c r="AG4" s="158"/>
      <c r="AH4" s="158"/>
      <c r="AI4" s="158" t="str">
        <f ca="1">"Неделя "&amp;(AI6-($G$4-WEEKDAY($G$4,1)+2))/7+1</f>
        <v>Неделя 4</v>
      </c>
      <c r="AJ4" s="158"/>
      <c r="AK4" s="158"/>
      <c r="AL4" s="158"/>
      <c r="AM4" s="158"/>
      <c r="AN4" s="158"/>
      <c r="AO4" s="158"/>
      <c r="AP4" s="158" t="str">
        <f ca="1">"Неделя "&amp;(AP6-($G$4-WEEKDAY($G$4,1)+2))/7+1</f>
        <v>Неделя 5</v>
      </c>
      <c r="AQ4" s="158"/>
      <c r="AR4" s="158"/>
      <c r="AS4" s="158"/>
      <c r="AT4" s="158"/>
      <c r="AU4" s="158"/>
      <c r="AV4" s="158"/>
      <c r="AW4" s="158" t="str">
        <f ca="1">"Неделя "&amp;(AW6-($G$4-WEEKDAY($G$4,1)+2))/7+1</f>
        <v>Неделя 6</v>
      </c>
      <c r="AX4" s="158"/>
      <c r="AY4" s="158"/>
      <c r="AZ4" s="158"/>
      <c r="BA4" s="158"/>
      <c r="BB4" s="158"/>
      <c r="BC4" s="158"/>
      <c r="BD4" s="158" t="str">
        <f ca="1">"Неделя "&amp;(BD6-($G$4-WEEKDAY($G$4,1)+2))/7+1</f>
        <v>Неделя 7</v>
      </c>
      <c r="BE4" s="158"/>
      <c r="BF4" s="158"/>
      <c r="BG4" s="158"/>
      <c r="BH4" s="158"/>
      <c r="BI4" s="158"/>
      <c r="BJ4" s="158"/>
      <c r="BK4" s="158" t="str">
        <f ca="1">"Неделя "&amp;(BK6-($G$4-WEEKDAY($G$4,1)+2))/7+1</f>
        <v>Неделя 8</v>
      </c>
      <c r="BL4" s="158"/>
      <c r="BM4" s="158"/>
      <c r="BN4" s="158"/>
      <c r="BO4" s="158"/>
      <c r="BP4" s="158"/>
      <c r="BQ4" s="158"/>
    </row>
    <row r="5" spans="1:69" ht="17.25" customHeight="1" x14ac:dyDescent="0.25">
      <c r="D5" s="24"/>
      <c r="E5" s="18"/>
      <c r="F5" s="18"/>
      <c r="G5" s="115" t="s">
        <v>61</v>
      </c>
      <c r="H5" s="25" t="s">
        <v>287</v>
      </c>
      <c r="N5" s="155">
        <f ca="1">N6</f>
        <v>43283</v>
      </c>
      <c r="O5" s="156"/>
      <c r="P5" s="156"/>
      <c r="Q5" s="156"/>
      <c r="R5" s="156"/>
      <c r="S5" s="156"/>
      <c r="T5" s="157"/>
      <c r="U5" s="155">
        <f ca="1">U6</f>
        <v>43290</v>
      </c>
      <c r="V5" s="156"/>
      <c r="W5" s="156"/>
      <c r="X5" s="156"/>
      <c r="Y5" s="156"/>
      <c r="Z5" s="156"/>
      <c r="AA5" s="157"/>
      <c r="AB5" s="155">
        <f ca="1">AB6</f>
        <v>43297</v>
      </c>
      <c r="AC5" s="156"/>
      <c r="AD5" s="156"/>
      <c r="AE5" s="156"/>
      <c r="AF5" s="156"/>
      <c r="AG5" s="156"/>
      <c r="AH5" s="157"/>
      <c r="AI5" s="155">
        <f ca="1">AI6</f>
        <v>43304</v>
      </c>
      <c r="AJ5" s="156"/>
      <c r="AK5" s="156"/>
      <c r="AL5" s="156"/>
      <c r="AM5" s="156"/>
      <c r="AN5" s="156"/>
      <c r="AO5" s="157"/>
      <c r="AP5" s="155">
        <f ca="1">AP6</f>
        <v>43311</v>
      </c>
      <c r="AQ5" s="156"/>
      <c r="AR5" s="156"/>
      <c r="AS5" s="156"/>
      <c r="AT5" s="156"/>
      <c r="AU5" s="156"/>
      <c r="AV5" s="157"/>
      <c r="AW5" s="155">
        <f ca="1">AW6</f>
        <v>43318</v>
      </c>
      <c r="AX5" s="156"/>
      <c r="AY5" s="156"/>
      <c r="AZ5" s="156"/>
      <c r="BA5" s="156"/>
      <c r="BB5" s="156"/>
      <c r="BC5" s="157"/>
      <c r="BD5" s="155">
        <f ca="1">BD6</f>
        <v>43325</v>
      </c>
      <c r="BE5" s="156"/>
      <c r="BF5" s="156"/>
      <c r="BG5" s="156"/>
      <c r="BH5" s="156"/>
      <c r="BI5" s="156"/>
      <c r="BJ5" s="157"/>
      <c r="BK5" s="155">
        <f ca="1">BK6</f>
        <v>43332</v>
      </c>
      <c r="BL5" s="156"/>
      <c r="BM5" s="156"/>
      <c r="BN5" s="156"/>
      <c r="BO5" s="156"/>
      <c r="BP5" s="156"/>
      <c r="BQ5" s="157"/>
    </row>
    <row r="6" spans="1:69" x14ac:dyDescent="0.25">
      <c r="N6" s="28">
        <f ca="1">G4-WEEKDAY(G4,1)+2+7*(K4-1)</f>
        <v>43283</v>
      </c>
      <c r="O6" s="29">
        <f t="shared" ref="O6:BQ6" ca="1" si="0">N6+1</f>
        <v>43284</v>
      </c>
      <c r="P6" s="29">
        <f t="shared" ca="1" si="0"/>
        <v>43285</v>
      </c>
      <c r="Q6" s="29">
        <f t="shared" ca="1" si="0"/>
        <v>43286</v>
      </c>
      <c r="R6" s="29">
        <f t="shared" ca="1" si="0"/>
        <v>43287</v>
      </c>
      <c r="S6" s="29">
        <f t="shared" ca="1" si="0"/>
        <v>43288</v>
      </c>
      <c r="T6" s="30">
        <f t="shared" ca="1" si="0"/>
        <v>43289</v>
      </c>
      <c r="U6" s="28">
        <f t="shared" ca="1" si="0"/>
        <v>43290</v>
      </c>
      <c r="V6" s="29">
        <f t="shared" ca="1" si="0"/>
        <v>43291</v>
      </c>
      <c r="W6" s="29">
        <f t="shared" ca="1" si="0"/>
        <v>43292</v>
      </c>
      <c r="X6" s="29">
        <f t="shared" ca="1" si="0"/>
        <v>43293</v>
      </c>
      <c r="Y6" s="29">
        <f t="shared" ca="1" si="0"/>
        <v>43294</v>
      </c>
      <c r="Z6" s="29">
        <f t="shared" ca="1" si="0"/>
        <v>43295</v>
      </c>
      <c r="AA6" s="30">
        <f t="shared" ca="1" si="0"/>
        <v>43296</v>
      </c>
      <c r="AB6" s="28">
        <f t="shared" ca="1" si="0"/>
        <v>43297</v>
      </c>
      <c r="AC6" s="29">
        <f t="shared" ca="1" si="0"/>
        <v>43298</v>
      </c>
      <c r="AD6" s="29">
        <f t="shared" ca="1" si="0"/>
        <v>43299</v>
      </c>
      <c r="AE6" s="29">
        <f t="shared" ca="1" si="0"/>
        <v>43300</v>
      </c>
      <c r="AF6" s="29">
        <f t="shared" ca="1" si="0"/>
        <v>43301</v>
      </c>
      <c r="AG6" s="29">
        <f t="shared" ca="1" si="0"/>
        <v>43302</v>
      </c>
      <c r="AH6" s="30">
        <f t="shared" ca="1" si="0"/>
        <v>43303</v>
      </c>
      <c r="AI6" s="28">
        <f t="shared" ca="1" si="0"/>
        <v>43304</v>
      </c>
      <c r="AJ6" s="29">
        <f t="shared" ca="1" si="0"/>
        <v>43305</v>
      </c>
      <c r="AK6" s="29">
        <f t="shared" ca="1" si="0"/>
        <v>43306</v>
      </c>
      <c r="AL6" s="29">
        <f t="shared" ca="1" si="0"/>
        <v>43307</v>
      </c>
      <c r="AM6" s="29">
        <f t="shared" ca="1" si="0"/>
        <v>43308</v>
      </c>
      <c r="AN6" s="29">
        <f t="shared" ca="1" si="0"/>
        <v>43309</v>
      </c>
      <c r="AO6" s="30">
        <f t="shared" ca="1" si="0"/>
        <v>43310</v>
      </c>
      <c r="AP6" s="28">
        <f t="shared" ca="1" si="0"/>
        <v>43311</v>
      </c>
      <c r="AQ6" s="29">
        <f t="shared" ca="1" si="0"/>
        <v>43312</v>
      </c>
      <c r="AR6" s="29">
        <f t="shared" ca="1" si="0"/>
        <v>43313</v>
      </c>
      <c r="AS6" s="29">
        <f t="shared" ca="1" si="0"/>
        <v>43314</v>
      </c>
      <c r="AT6" s="29">
        <f t="shared" ca="1" si="0"/>
        <v>43315</v>
      </c>
      <c r="AU6" s="29">
        <f t="shared" ca="1" si="0"/>
        <v>43316</v>
      </c>
      <c r="AV6" s="30">
        <f t="shared" ca="1" si="0"/>
        <v>43317</v>
      </c>
      <c r="AW6" s="28">
        <f t="shared" ca="1" si="0"/>
        <v>43318</v>
      </c>
      <c r="AX6" s="29">
        <f t="shared" ca="1" si="0"/>
        <v>43319</v>
      </c>
      <c r="AY6" s="29">
        <f t="shared" ca="1" si="0"/>
        <v>43320</v>
      </c>
      <c r="AZ6" s="29">
        <f t="shared" ca="1" si="0"/>
        <v>43321</v>
      </c>
      <c r="BA6" s="29">
        <f t="shared" ca="1" si="0"/>
        <v>43322</v>
      </c>
      <c r="BB6" s="29">
        <f t="shared" ca="1" si="0"/>
        <v>43323</v>
      </c>
      <c r="BC6" s="30">
        <f t="shared" ca="1" si="0"/>
        <v>43324</v>
      </c>
      <c r="BD6" s="28">
        <f t="shared" ca="1" si="0"/>
        <v>43325</v>
      </c>
      <c r="BE6" s="29">
        <f t="shared" ca="1" si="0"/>
        <v>43326</v>
      </c>
      <c r="BF6" s="29">
        <f t="shared" ca="1" si="0"/>
        <v>43327</v>
      </c>
      <c r="BG6" s="29">
        <f t="shared" ca="1" si="0"/>
        <v>43328</v>
      </c>
      <c r="BH6" s="29">
        <f t="shared" ca="1" si="0"/>
        <v>43329</v>
      </c>
      <c r="BI6" s="29">
        <f t="shared" ca="1" si="0"/>
        <v>43330</v>
      </c>
      <c r="BJ6" s="30">
        <f t="shared" ca="1" si="0"/>
        <v>43331</v>
      </c>
      <c r="BK6" s="28">
        <f t="shared" ca="1" si="0"/>
        <v>43332</v>
      </c>
      <c r="BL6" s="29">
        <f t="shared" ca="1" si="0"/>
        <v>43333</v>
      </c>
      <c r="BM6" s="29">
        <f t="shared" ca="1" si="0"/>
        <v>43334</v>
      </c>
      <c r="BN6" s="29">
        <f t="shared" ca="1" si="0"/>
        <v>43335</v>
      </c>
      <c r="BO6" s="29">
        <f t="shared" ca="1" si="0"/>
        <v>43336</v>
      </c>
      <c r="BP6" s="29">
        <f t="shared" ca="1" si="0"/>
        <v>43337</v>
      </c>
      <c r="BQ6" s="30">
        <f t="shared" ca="1" si="0"/>
        <v>43338</v>
      </c>
    </row>
    <row r="7" spans="1:69" ht="33.75" thickBot="1" x14ac:dyDescent="0.3">
      <c r="A7" s="59" t="s">
        <v>12</v>
      </c>
      <c r="B7" s="60" t="s">
        <v>17</v>
      </c>
      <c r="C7" s="59" t="s">
        <v>58</v>
      </c>
      <c r="D7" s="60" t="s">
        <v>1</v>
      </c>
      <c r="E7" s="60" t="s">
        <v>13</v>
      </c>
      <c r="F7" s="60" t="s">
        <v>7</v>
      </c>
      <c r="G7" s="60" t="s">
        <v>3</v>
      </c>
      <c r="H7" s="59" t="s">
        <v>2</v>
      </c>
      <c r="I7" s="59" t="s">
        <v>8</v>
      </c>
      <c r="J7" s="59" t="s">
        <v>14</v>
      </c>
      <c r="K7" s="59" t="s">
        <v>15</v>
      </c>
      <c r="L7" s="120" t="s">
        <v>16</v>
      </c>
      <c r="M7" s="51"/>
      <c r="N7" s="31" t="str">
        <f ca="1">CHOOSE(WEEKDAY(N6,1),"Вск.","Пн.","Вт.","Ср.","Чт.","Пт.","Сб.")</f>
        <v>Пн.</v>
      </c>
      <c r="O7" s="32" t="str">
        <f t="shared" ref="O7" ca="1" si="1">CHOOSE(WEEKDAY(O6,1),"Вск.","Пн.","Вт.","Ср.","Чт.","Пт.","Сб.")</f>
        <v>Вт.</v>
      </c>
      <c r="P7" s="32" t="str">
        <f t="shared" ref="P7" ca="1" si="2">CHOOSE(WEEKDAY(P6,1),"Вск.","Пн.","Вт.","Ср.","Чт.","Пт.","Сб.")</f>
        <v>Ср.</v>
      </c>
      <c r="Q7" s="32" t="str">
        <f t="shared" ref="Q7" ca="1" si="3">CHOOSE(WEEKDAY(Q6,1),"Вск.","Пн.","Вт.","Ср.","Чт.","Пт.","Сб.")</f>
        <v>Чт.</v>
      </c>
      <c r="R7" s="32" t="str">
        <f t="shared" ref="R7" ca="1" si="4">CHOOSE(WEEKDAY(R6,1),"Вск.","Пн.","Вт.","Ср.","Чт.","Пт.","Сб.")</f>
        <v>Пт.</v>
      </c>
      <c r="S7" s="32" t="str">
        <f t="shared" ref="S7:T7" ca="1" si="5">CHOOSE(WEEKDAY(S6,1),"Вск.","Пн.","Вт.","Ср.","Чт.","Пт.","Сб.")</f>
        <v>Сб.</v>
      </c>
      <c r="T7" s="32" t="str">
        <f t="shared" ca="1" si="5"/>
        <v>Вск.</v>
      </c>
      <c r="U7" s="31" t="str">
        <f ca="1">CHOOSE(WEEKDAY(U6,1),"Вск.","Пн.","Вт.","Ср.","Чт.","Пт.","Сб.")</f>
        <v>Пн.</v>
      </c>
      <c r="V7" s="32" t="str">
        <f t="shared" ref="V7" ca="1" si="6">CHOOSE(WEEKDAY(V6,1),"Вск.","Пн.","Вт.","Ср.","Чт.","Пт.","Сб.")</f>
        <v>Вт.</v>
      </c>
      <c r="W7" s="32" t="str">
        <f t="shared" ref="W7" ca="1" si="7">CHOOSE(WEEKDAY(W6,1),"Вск.","Пн.","Вт.","Ср.","Чт.","Пт.","Сб.")</f>
        <v>Ср.</v>
      </c>
      <c r="X7" s="32" t="str">
        <f t="shared" ref="X7" ca="1" si="8">CHOOSE(WEEKDAY(X6,1),"Вск.","Пн.","Вт.","Ср.","Чт.","Пт.","Сб.")</f>
        <v>Чт.</v>
      </c>
      <c r="Y7" s="32" t="str">
        <f t="shared" ref="Y7" ca="1" si="9">CHOOSE(WEEKDAY(Y6,1),"Вск.","Пн.","Вт.","Ср.","Чт.","Пт.","Сб.")</f>
        <v>Пт.</v>
      </c>
      <c r="Z7" s="32" t="str">
        <f t="shared" ref="Z7" ca="1" si="10">CHOOSE(WEEKDAY(Z6,1),"Вск.","Пн.","Вт.","Ср.","Чт.","Пт.","Сб.")</f>
        <v>Сб.</v>
      </c>
      <c r="AA7" s="32" t="str">
        <f t="shared" ref="AA7" ca="1" si="11">CHOOSE(WEEKDAY(AA6,1),"Вск.","Пн.","Вт.","Ср.","Чт.","Пт.","Сб.")</f>
        <v>Вск.</v>
      </c>
      <c r="AB7" s="31" t="str">
        <f ca="1">CHOOSE(WEEKDAY(AB6,1),"Вск.","Пн.","Вт.","Ср.","Чт.","Пт.","Сб.")</f>
        <v>Пн.</v>
      </c>
      <c r="AC7" s="32" t="str">
        <f t="shared" ref="AC7" ca="1" si="12">CHOOSE(WEEKDAY(AC6,1),"Вск.","Пн.","Вт.","Ср.","Чт.","Пт.","Сб.")</f>
        <v>Вт.</v>
      </c>
      <c r="AD7" s="32" t="str">
        <f t="shared" ref="AD7" ca="1" si="13">CHOOSE(WEEKDAY(AD6,1),"Вск.","Пн.","Вт.","Ср.","Чт.","Пт.","Сб.")</f>
        <v>Ср.</v>
      </c>
      <c r="AE7" s="32" t="str">
        <f t="shared" ref="AE7" ca="1" si="14">CHOOSE(WEEKDAY(AE6,1),"Вск.","Пн.","Вт.","Ср.","Чт.","Пт.","Сб.")</f>
        <v>Чт.</v>
      </c>
      <c r="AF7" s="32" t="str">
        <f t="shared" ref="AF7" ca="1" si="15">CHOOSE(WEEKDAY(AF6,1),"Вск.","Пн.","Вт.","Ср.","Чт.","Пт.","Сб.")</f>
        <v>Пт.</v>
      </c>
      <c r="AG7" s="32" t="str">
        <f t="shared" ref="AG7" ca="1" si="16">CHOOSE(WEEKDAY(AG6,1),"Вск.","Пн.","Вт.","Ср.","Чт.","Пт.","Сб.")</f>
        <v>Сб.</v>
      </c>
      <c r="AH7" s="32" t="str">
        <f t="shared" ref="AH7" ca="1" si="17">CHOOSE(WEEKDAY(AH6,1),"Вск.","Пн.","Вт.","Ср.","Чт.","Пт.","Сб.")</f>
        <v>Вск.</v>
      </c>
      <c r="AI7" s="31" t="str">
        <f ca="1">CHOOSE(WEEKDAY(AI6,1),"Вск.","Пн.","Вт.","Ср.","Чт.","Пт.","Сб.")</f>
        <v>Пн.</v>
      </c>
      <c r="AJ7" s="32" t="str">
        <f t="shared" ref="AJ7" ca="1" si="18">CHOOSE(WEEKDAY(AJ6,1),"Вск.","Пн.","Вт.","Ср.","Чт.","Пт.","Сб.")</f>
        <v>Вт.</v>
      </c>
      <c r="AK7" s="32" t="str">
        <f t="shared" ref="AK7" ca="1" si="19">CHOOSE(WEEKDAY(AK6,1),"Вск.","Пн.","Вт.","Ср.","Чт.","Пт.","Сб.")</f>
        <v>Ср.</v>
      </c>
      <c r="AL7" s="32" t="str">
        <f t="shared" ref="AL7" ca="1" si="20">CHOOSE(WEEKDAY(AL6,1),"Вск.","Пн.","Вт.","Ср.","Чт.","Пт.","Сб.")</f>
        <v>Чт.</v>
      </c>
      <c r="AM7" s="32" t="str">
        <f t="shared" ref="AM7" ca="1" si="21">CHOOSE(WEEKDAY(AM6,1),"Вск.","Пн.","Вт.","Ср.","Чт.","Пт.","Сб.")</f>
        <v>Пт.</v>
      </c>
      <c r="AN7" s="32" t="str">
        <f t="shared" ref="AN7" ca="1" si="22">CHOOSE(WEEKDAY(AN6,1),"Вск.","Пн.","Вт.","Ср.","Чт.","Пт.","Сб.")</f>
        <v>Сб.</v>
      </c>
      <c r="AO7" s="32" t="str">
        <f t="shared" ref="AO7" ca="1" si="23">CHOOSE(WEEKDAY(AO6,1),"Вск.","Пн.","Вт.","Ср.","Чт.","Пт.","Сб.")</f>
        <v>Вск.</v>
      </c>
      <c r="AP7" s="31" t="str">
        <f ca="1">CHOOSE(WEEKDAY(AP6,1),"Вск.","Пн.","Вт.","Ср.","Чт.","Пт.","Сб.")</f>
        <v>Пн.</v>
      </c>
      <c r="AQ7" s="32" t="str">
        <f t="shared" ref="AQ7" ca="1" si="24">CHOOSE(WEEKDAY(AQ6,1),"Вск.","Пн.","Вт.","Ср.","Чт.","Пт.","Сб.")</f>
        <v>Вт.</v>
      </c>
      <c r="AR7" s="32" t="str">
        <f t="shared" ref="AR7" ca="1" si="25">CHOOSE(WEEKDAY(AR6,1),"Вск.","Пн.","Вт.","Ср.","Чт.","Пт.","Сб.")</f>
        <v>Ср.</v>
      </c>
      <c r="AS7" s="32" t="str">
        <f t="shared" ref="AS7" ca="1" si="26">CHOOSE(WEEKDAY(AS6,1),"Вск.","Пн.","Вт.","Ср.","Чт.","Пт.","Сб.")</f>
        <v>Чт.</v>
      </c>
      <c r="AT7" s="32" t="str">
        <f t="shared" ref="AT7" ca="1" si="27">CHOOSE(WEEKDAY(AT6,1),"Вск.","Пн.","Вт.","Ср.","Чт.","Пт.","Сб.")</f>
        <v>Пт.</v>
      </c>
      <c r="AU7" s="32" t="str">
        <f t="shared" ref="AU7" ca="1" si="28">CHOOSE(WEEKDAY(AU6,1),"Вск.","Пн.","Вт.","Ср.","Чт.","Пт.","Сб.")</f>
        <v>Сб.</v>
      </c>
      <c r="AV7" s="32" t="str">
        <f t="shared" ref="AV7" ca="1" si="29">CHOOSE(WEEKDAY(AV6,1),"Вск.","Пн.","Вт.","Ср.","Чт.","Пт.","Сб.")</f>
        <v>Вск.</v>
      </c>
      <c r="AW7" s="31" t="str">
        <f ca="1">CHOOSE(WEEKDAY(AW6,1),"Вск.","Пн.","Вт.","Ср.","Чт.","Пт.","Сб.")</f>
        <v>Пн.</v>
      </c>
      <c r="AX7" s="32" t="str">
        <f t="shared" ref="AX7" ca="1" si="30">CHOOSE(WEEKDAY(AX6,1),"Вск.","Пн.","Вт.","Ср.","Чт.","Пт.","Сб.")</f>
        <v>Вт.</v>
      </c>
      <c r="AY7" s="32" t="str">
        <f t="shared" ref="AY7" ca="1" si="31">CHOOSE(WEEKDAY(AY6,1),"Вск.","Пн.","Вт.","Ср.","Чт.","Пт.","Сб.")</f>
        <v>Ср.</v>
      </c>
      <c r="AZ7" s="32" t="str">
        <f t="shared" ref="AZ7" ca="1" si="32">CHOOSE(WEEKDAY(AZ6,1),"Вск.","Пн.","Вт.","Ср.","Чт.","Пт.","Сб.")</f>
        <v>Чт.</v>
      </c>
      <c r="BA7" s="32" t="str">
        <f t="shared" ref="BA7" ca="1" si="33">CHOOSE(WEEKDAY(BA6,1),"Вск.","Пн.","Вт.","Ср.","Чт.","Пт.","Сб.")</f>
        <v>Пт.</v>
      </c>
      <c r="BB7" s="32" t="str">
        <f t="shared" ref="BB7" ca="1" si="34">CHOOSE(WEEKDAY(BB6,1),"Вск.","Пн.","Вт.","Ср.","Чт.","Пт.","Сб.")</f>
        <v>Сб.</v>
      </c>
      <c r="BC7" s="32" t="str">
        <f t="shared" ref="BC7" ca="1" si="35">CHOOSE(WEEKDAY(BC6,1),"Вск.","Пн.","Вт.","Ср.","Чт.","Пт.","Сб.")</f>
        <v>Вск.</v>
      </c>
      <c r="BD7" s="31" t="str">
        <f ca="1">CHOOSE(WEEKDAY(BD6,1),"Вск.","Пн.","Вт.","Ср.","Чт.","Пт.","Сб.")</f>
        <v>Пн.</v>
      </c>
      <c r="BE7" s="32" t="str">
        <f t="shared" ref="BE7" ca="1" si="36">CHOOSE(WEEKDAY(BE6,1),"Вск.","Пн.","Вт.","Ср.","Чт.","Пт.","Сб.")</f>
        <v>Вт.</v>
      </c>
      <c r="BF7" s="32" t="str">
        <f t="shared" ref="BF7" ca="1" si="37">CHOOSE(WEEKDAY(BF6,1),"Вск.","Пн.","Вт.","Ср.","Чт.","Пт.","Сб.")</f>
        <v>Ср.</v>
      </c>
      <c r="BG7" s="32" t="str">
        <f t="shared" ref="BG7" ca="1" si="38">CHOOSE(WEEKDAY(BG6,1),"Вск.","Пн.","Вт.","Ср.","Чт.","Пт.","Сб.")</f>
        <v>Чт.</v>
      </c>
      <c r="BH7" s="32" t="str">
        <f t="shared" ref="BH7" ca="1" si="39">CHOOSE(WEEKDAY(BH6,1),"Вск.","Пн.","Вт.","Ср.","Чт.","Пт.","Сб.")</f>
        <v>Пт.</v>
      </c>
      <c r="BI7" s="32" t="str">
        <f t="shared" ref="BI7" ca="1" si="40">CHOOSE(WEEKDAY(BI6,1),"Вск.","Пн.","Вт.","Ср.","Чт.","Пт.","Сб.")</f>
        <v>Сб.</v>
      </c>
      <c r="BJ7" s="32" t="str">
        <f t="shared" ref="BJ7" ca="1" si="41">CHOOSE(WEEKDAY(BJ6,1),"Вск.","Пн.","Вт.","Ср.","Чт.","Пт.","Сб.")</f>
        <v>Вск.</v>
      </c>
      <c r="BK7" s="31" t="str">
        <f ca="1">CHOOSE(WEEKDAY(BK6,1),"Вск.","Пн.","Вт.","Ср.","Чт.","Пт.","Сб.")</f>
        <v>Пн.</v>
      </c>
      <c r="BL7" s="32" t="str">
        <f t="shared" ref="BL7" ca="1" si="42">CHOOSE(WEEKDAY(BL6,1),"Вск.","Пн.","Вт.","Ср.","Чт.","Пт.","Сб.")</f>
        <v>Вт.</v>
      </c>
      <c r="BM7" s="32" t="str">
        <f t="shared" ref="BM7" ca="1" si="43">CHOOSE(WEEKDAY(BM6,1),"Вск.","Пн.","Вт.","Ср.","Чт.","Пт.","Сб.")</f>
        <v>Ср.</v>
      </c>
      <c r="BN7" s="32" t="str">
        <f t="shared" ref="BN7" ca="1" si="44">CHOOSE(WEEKDAY(BN6,1),"Вск.","Пн.","Вт.","Ср.","Чт.","Пт.","Сб.")</f>
        <v>Чт.</v>
      </c>
      <c r="BO7" s="32" t="str">
        <f t="shared" ref="BO7" ca="1" si="45">CHOOSE(WEEKDAY(BO6,1),"Вск.","Пн.","Вт.","Ср.","Чт.","Пт.","Сб.")</f>
        <v>Пт.</v>
      </c>
      <c r="BP7" s="32" t="str">
        <f t="shared" ref="BP7" ca="1" si="46">CHOOSE(WEEKDAY(BP6,1),"Вск.","Пн.","Вт.","Ср.","Чт.","Пт.","Сб.")</f>
        <v>Сб.</v>
      </c>
      <c r="BQ7" s="33" t="str">
        <f t="shared" ref="BQ7" ca="1" si="47">CHOOSE(WEEKDAY(BQ6,1),"Вск.","Пн.","Вт.","Ср.","Чт.","Пт.","Сб.")</f>
        <v>Вск.</v>
      </c>
    </row>
    <row r="8" spans="1:69" s="43" customFormat="1" x14ac:dyDescent="0.25">
      <c r="A8" s="34">
        <v>1</v>
      </c>
      <c r="B8" s="35" t="s">
        <v>119</v>
      </c>
      <c r="C8" s="146" t="s">
        <v>65</v>
      </c>
      <c r="D8" s="36" t="s">
        <v>281</v>
      </c>
      <c r="E8" s="35" t="s">
        <v>126</v>
      </c>
      <c r="F8" s="18" t="s">
        <v>111</v>
      </c>
      <c r="G8" s="35" t="s">
        <v>6</v>
      </c>
      <c r="H8" s="37">
        <v>43089</v>
      </c>
      <c r="I8" s="38">
        <f t="shared" ref="I8:I39" si="48">IF(ISBLANK(H8)," - ",IF(J8=0,H8,H8+J8-1))</f>
        <v>43098</v>
      </c>
      <c r="J8" s="39">
        <v>10</v>
      </c>
      <c r="K8" s="40">
        <v>1</v>
      </c>
      <c r="L8" s="39">
        <f t="shared" ref="L8:L39" si="49">IF(OR(I8=0,H8=0)," - ",NETWORKDAYS(H8,I8))</f>
        <v>8</v>
      </c>
      <c r="M8" s="41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Y8" s="42"/>
      <c r="AZ8" s="42"/>
      <c r="BA8" s="42"/>
      <c r="BB8" s="42"/>
      <c r="BC8" s="42"/>
      <c r="BD8" s="42"/>
      <c r="BE8" s="42"/>
      <c r="BF8" s="42"/>
      <c r="BG8" s="42"/>
      <c r="BH8" s="42"/>
      <c r="BI8" s="42"/>
      <c r="BJ8" s="42"/>
      <c r="BK8" s="42"/>
      <c r="BL8" s="42"/>
      <c r="BM8" s="42"/>
      <c r="BN8" s="42"/>
      <c r="BO8" s="42"/>
      <c r="BP8" s="42"/>
      <c r="BQ8" s="42"/>
    </row>
    <row r="9" spans="1:69" s="43" customFormat="1" x14ac:dyDescent="0.25">
      <c r="A9" s="34">
        <v>2</v>
      </c>
      <c r="B9" s="35" t="s">
        <v>119</v>
      </c>
      <c r="C9" s="147"/>
      <c r="D9" s="36" t="s">
        <v>118</v>
      </c>
      <c r="E9" s="35" t="s">
        <v>127</v>
      </c>
      <c r="F9" s="18" t="s">
        <v>120</v>
      </c>
      <c r="G9" s="35" t="s">
        <v>6</v>
      </c>
      <c r="H9" s="37">
        <v>43089</v>
      </c>
      <c r="I9" s="38">
        <f t="shared" si="48"/>
        <v>43098</v>
      </c>
      <c r="J9" s="39">
        <v>10</v>
      </c>
      <c r="K9" s="40">
        <v>1</v>
      </c>
      <c r="L9" s="39">
        <f t="shared" si="49"/>
        <v>8</v>
      </c>
      <c r="M9" s="41"/>
      <c r="N9" s="42"/>
      <c r="O9" s="42"/>
      <c r="P9" s="42"/>
      <c r="Q9" s="42"/>
      <c r="R9" s="42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Y9" s="42"/>
      <c r="AZ9" s="42"/>
      <c r="BA9" s="42"/>
      <c r="BB9" s="42"/>
      <c r="BC9" s="42"/>
      <c r="BD9" s="42"/>
      <c r="BE9" s="42"/>
      <c r="BF9" s="42"/>
      <c r="BG9" s="42"/>
      <c r="BH9" s="42"/>
      <c r="BI9" s="42"/>
      <c r="BJ9" s="42"/>
      <c r="BK9" s="42"/>
      <c r="BL9" s="42"/>
      <c r="BM9" s="42"/>
      <c r="BN9" s="42"/>
      <c r="BO9" s="42"/>
      <c r="BP9" s="42"/>
      <c r="BQ9" s="42"/>
    </row>
    <row r="10" spans="1:69" s="43" customFormat="1" x14ac:dyDescent="0.25">
      <c r="A10" s="34">
        <v>3</v>
      </c>
      <c r="B10" s="35" t="s">
        <v>87</v>
      </c>
      <c r="C10" s="147"/>
      <c r="D10" s="36" t="s">
        <v>90</v>
      </c>
      <c r="E10" s="35" t="s">
        <v>84</v>
      </c>
      <c r="F10" s="18" t="s">
        <v>91</v>
      </c>
      <c r="G10" s="35" t="s">
        <v>92</v>
      </c>
      <c r="H10" s="37">
        <v>43125</v>
      </c>
      <c r="I10" s="38">
        <f t="shared" si="48"/>
        <v>43125</v>
      </c>
      <c r="J10" s="39">
        <v>1</v>
      </c>
      <c r="K10" s="40">
        <v>1</v>
      </c>
      <c r="L10" s="39">
        <f t="shared" si="49"/>
        <v>1</v>
      </c>
      <c r="M10" s="41"/>
      <c r="N10" s="42"/>
      <c r="O10" s="42"/>
      <c r="P10" s="44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Y10" s="42"/>
      <c r="AZ10" s="42"/>
      <c r="BA10" s="42"/>
      <c r="BB10" s="42"/>
      <c r="BC10" s="42"/>
      <c r="BD10" s="42"/>
      <c r="BE10" s="42"/>
      <c r="BF10" s="42"/>
      <c r="BG10" s="42"/>
      <c r="BH10" s="42"/>
      <c r="BI10" s="42"/>
      <c r="BJ10" s="42"/>
      <c r="BK10" s="42"/>
      <c r="BL10" s="42"/>
      <c r="BM10" s="42"/>
      <c r="BN10" s="42"/>
      <c r="BO10" s="42"/>
      <c r="BP10" s="42"/>
      <c r="BQ10" s="42"/>
    </row>
    <row r="11" spans="1:69" s="43" customFormat="1" x14ac:dyDescent="0.25">
      <c r="A11" s="34">
        <v>4</v>
      </c>
      <c r="B11" s="35" t="s">
        <v>87</v>
      </c>
      <c r="C11" s="147"/>
      <c r="D11" s="36" t="s">
        <v>93</v>
      </c>
      <c r="E11" s="35" t="s">
        <v>84</v>
      </c>
      <c r="F11" s="18" t="s">
        <v>94</v>
      </c>
      <c r="G11" s="35" t="s">
        <v>92</v>
      </c>
      <c r="H11" s="37">
        <v>43125</v>
      </c>
      <c r="I11" s="38">
        <f t="shared" si="48"/>
        <v>43125</v>
      </c>
      <c r="J11" s="39">
        <v>1</v>
      </c>
      <c r="K11" s="40">
        <v>1</v>
      </c>
      <c r="L11" s="39">
        <f t="shared" si="49"/>
        <v>1</v>
      </c>
      <c r="M11" s="41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</row>
    <row r="12" spans="1:69" s="43" customFormat="1" x14ac:dyDescent="0.25">
      <c r="A12" s="34">
        <v>5</v>
      </c>
      <c r="B12" s="35" t="s">
        <v>87</v>
      </c>
      <c r="C12" s="147"/>
      <c r="D12" s="36" t="s">
        <v>95</v>
      </c>
      <c r="E12" s="35" t="s">
        <v>84</v>
      </c>
      <c r="F12" s="18" t="s">
        <v>96</v>
      </c>
      <c r="G12" s="35" t="s">
        <v>86</v>
      </c>
      <c r="H12" s="37">
        <v>43132</v>
      </c>
      <c r="I12" s="38">
        <f t="shared" si="48"/>
        <v>43132</v>
      </c>
      <c r="J12" s="39">
        <v>1</v>
      </c>
      <c r="K12" s="40">
        <v>1</v>
      </c>
      <c r="L12" s="39">
        <f t="shared" si="49"/>
        <v>1</v>
      </c>
      <c r="M12" s="41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</row>
    <row r="13" spans="1:69" s="43" customFormat="1" x14ac:dyDescent="0.25">
      <c r="A13" s="34">
        <v>6</v>
      </c>
      <c r="B13" s="35" t="s">
        <v>87</v>
      </c>
      <c r="C13" s="147"/>
      <c r="D13" s="36" t="s">
        <v>102</v>
      </c>
      <c r="E13" s="35" t="s">
        <v>84</v>
      </c>
      <c r="F13" s="18" t="s">
        <v>101</v>
      </c>
      <c r="G13" s="35" t="s">
        <v>86</v>
      </c>
      <c r="H13" s="37">
        <v>43132</v>
      </c>
      <c r="I13" s="38">
        <f t="shared" si="48"/>
        <v>43132</v>
      </c>
      <c r="J13" s="39">
        <v>1</v>
      </c>
      <c r="K13" s="40">
        <v>1</v>
      </c>
      <c r="L13" s="39">
        <f t="shared" si="49"/>
        <v>1</v>
      </c>
      <c r="M13" s="41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42"/>
      <c r="Y13" s="42"/>
      <c r="Z13" s="42"/>
      <c r="AA13" s="42"/>
      <c r="AB13" s="42"/>
      <c r="AC13" s="42"/>
      <c r="AD13" s="42"/>
      <c r="AE13" s="42"/>
      <c r="AF13" s="42"/>
      <c r="AG13" s="42"/>
      <c r="AH13" s="42"/>
      <c r="AI13" s="42"/>
      <c r="AJ13" s="42"/>
      <c r="AK13" s="42"/>
      <c r="AL13" s="42"/>
      <c r="AM13" s="42"/>
      <c r="AN13" s="42"/>
      <c r="AO13" s="42"/>
      <c r="AP13" s="42"/>
      <c r="AQ13" s="42"/>
      <c r="AR13" s="42"/>
      <c r="AS13" s="42"/>
      <c r="AT13" s="42"/>
      <c r="AU13" s="42"/>
      <c r="AV13" s="42"/>
      <c r="AW13" s="42"/>
      <c r="AX13" s="42"/>
      <c r="AY13" s="42"/>
      <c r="AZ13" s="42"/>
      <c r="BA13" s="42"/>
      <c r="BB13" s="42"/>
      <c r="BC13" s="42"/>
      <c r="BD13" s="42"/>
      <c r="BE13" s="42"/>
      <c r="BF13" s="42"/>
      <c r="BG13" s="42"/>
      <c r="BH13" s="42"/>
      <c r="BI13" s="42"/>
      <c r="BJ13" s="42"/>
      <c r="BK13" s="42"/>
      <c r="BL13" s="42"/>
      <c r="BM13" s="42"/>
      <c r="BN13" s="42"/>
      <c r="BO13" s="42"/>
      <c r="BP13" s="42"/>
      <c r="BQ13" s="42"/>
    </row>
    <row r="14" spans="1:69" s="43" customFormat="1" x14ac:dyDescent="0.25">
      <c r="A14" s="34">
        <v>7</v>
      </c>
      <c r="B14" s="35" t="s">
        <v>87</v>
      </c>
      <c r="C14" s="147"/>
      <c r="D14" s="36" t="s">
        <v>103</v>
      </c>
      <c r="E14" s="35" t="s">
        <v>84</v>
      </c>
      <c r="F14" s="18" t="s">
        <v>104</v>
      </c>
      <c r="G14" s="35" t="s">
        <v>86</v>
      </c>
      <c r="H14" s="37">
        <v>43132</v>
      </c>
      <c r="I14" s="38">
        <f t="shared" si="48"/>
        <v>43132</v>
      </c>
      <c r="J14" s="39">
        <v>1</v>
      </c>
      <c r="K14" s="40">
        <v>1</v>
      </c>
      <c r="L14" s="39">
        <f t="shared" si="49"/>
        <v>1</v>
      </c>
      <c r="M14" s="41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2"/>
      <c r="Z14" s="42"/>
      <c r="AA14" s="42"/>
      <c r="AB14" s="42"/>
      <c r="AC14" s="42"/>
      <c r="AD14" s="42"/>
      <c r="AE14" s="42"/>
      <c r="AF14" s="42"/>
      <c r="AG14" s="42"/>
      <c r="AH14" s="42"/>
      <c r="AI14" s="42"/>
      <c r="AJ14" s="42"/>
      <c r="AK14" s="42"/>
      <c r="AL14" s="42"/>
      <c r="AM14" s="42"/>
      <c r="AN14" s="42"/>
      <c r="AO14" s="42"/>
      <c r="AP14" s="42"/>
      <c r="AQ14" s="42"/>
      <c r="AR14" s="42"/>
      <c r="AS14" s="42"/>
      <c r="AT14" s="42"/>
      <c r="AU14" s="42"/>
      <c r="AV14" s="42"/>
      <c r="AW14" s="42"/>
      <c r="AX14" s="42"/>
      <c r="AY14" s="42"/>
      <c r="AZ14" s="42"/>
      <c r="BA14" s="42"/>
      <c r="BB14" s="42"/>
      <c r="BC14" s="42"/>
      <c r="BD14" s="42"/>
      <c r="BE14" s="42"/>
      <c r="BF14" s="42"/>
      <c r="BG14" s="42"/>
      <c r="BH14" s="42"/>
      <c r="BI14" s="42"/>
      <c r="BJ14" s="42"/>
      <c r="BK14" s="42"/>
      <c r="BL14" s="42"/>
      <c r="BM14" s="42"/>
      <c r="BN14" s="42"/>
      <c r="BO14" s="42"/>
      <c r="BP14" s="42"/>
      <c r="BQ14" s="42"/>
    </row>
    <row r="15" spans="1:69" x14ac:dyDescent="0.25">
      <c r="A15" s="34">
        <v>8</v>
      </c>
      <c r="B15" s="35" t="s">
        <v>112</v>
      </c>
      <c r="C15" s="147"/>
      <c r="D15" s="36" t="s">
        <v>113</v>
      </c>
      <c r="E15" s="35" t="s">
        <v>128</v>
      </c>
      <c r="F15" s="18" t="s">
        <v>114</v>
      </c>
      <c r="G15" s="35" t="s">
        <v>19</v>
      </c>
      <c r="H15" s="37">
        <v>43146</v>
      </c>
      <c r="I15" s="38">
        <f t="shared" si="48"/>
        <v>43152</v>
      </c>
      <c r="J15" s="39">
        <v>7</v>
      </c>
      <c r="K15" s="40">
        <v>1</v>
      </c>
      <c r="L15" s="39">
        <f t="shared" si="49"/>
        <v>5</v>
      </c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</row>
    <row r="16" spans="1:69" x14ac:dyDescent="0.25">
      <c r="A16" s="34">
        <v>9</v>
      </c>
      <c r="B16" s="35" t="s">
        <v>112</v>
      </c>
      <c r="C16" s="147"/>
      <c r="D16" s="36" t="s">
        <v>115</v>
      </c>
      <c r="E16" s="35" t="s">
        <v>128</v>
      </c>
      <c r="F16" s="18" t="s">
        <v>116</v>
      </c>
      <c r="G16" s="35" t="s">
        <v>5</v>
      </c>
      <c r="H16" s="37">
        <v>43170</v>
      </c>
      <c r="I16" s="38">
        <f t="shared" si="48"/>
        <v>43179</v>
      </c>
      <c r="J16" s="39">
        <v>10</v>
      </c>
      <c r="K16" s="40">
        <v>1</v>
      </c>
      <c r="L16" s="39">
        <f t="shared" si="49"/>
        <v>7</v>
      </c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42"/>
      <c r="AG16" s="42"/>
      <c r="AH16" s="42"/>
      <c r="AI16" s="42"/>
      <c r="AJ16" s="42"/>
      <c r="AK16" s="42"/>
      <c r="AL16" s="42"/>
      <c r="AM16" s="42"/>
      <c r="AN16" s="42"/>
      <c r="AO16" s="42"/>
      <c r="AP16" s="42"/>
      <c r="AQ16" s="42"/>
      <c r="AR16" s="42"/>
      <c r="AS16" s="42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2"/>
      <c r="BH16" s="42"/>
      <c r="BI16" s="42"/>
      <c r="BJ16" s="42"/>
      <c r="BK16" s="42"/>
      <c r="BL16" s="42"/>
      <c r="BM16" s="42"/>
      <c r="BN16" s="42"/>
      <c r="BO16" s="42"/>
      <c r="BP16" s="42"/>
      <c r="BQ16" s="42"/>
    </row>
    <row r="17" spans="1:69" x14ac:dyDescent="0.25">
      <c r="A17" s="34">
        <v>10</v>
      </c>
      <c r="B17" s="35" t="s">
        <v>87</v>
      </c>
      <c r="C17" s="147"/>
      <c r="D17" s="36" t="s">
        <v>83</v>
      </c>
      <c r="E17" s="35" t="s">
        <v>84</v>
      </c>
      <c r="F17" s="18" t="s">
        <v>85</v>
      </c>
      <c r="G17" s="35" t="s">
        <v>86</v>
      </c>
      <c r="H17" s="37">
        <v>43187</v>
      </c>
      <c r="I17" s="38">
        <f t="shared" si="48"/>
        <v>43187</v>
      </c>
      <c r="J17" s="39">
        <v>1</v>
      </c>
      <c r="K17" s="40">
        <v>1</v>
      </c>
      <c r="L17" s="39">
        <f t="shared" si="49"/>
        <v>1</v>
      </c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</row>
    <row r="18" spans="1:69" x14ac:dyDescent="0.25">
      <c r="A18" s="34">
        <v>11</v>
      </c>
      <c r="B18" s="35" t="s">
        <v>74</v>
      </c>
      <c r="C18" s="146" t="s">
        <v>58</v>
      </c>
      <c r="D18" s="36" t="s">
        <v>125</v>
      </c>
      <c r="E18" s="35" t="s">
        <v>129</v>
      </c>
      <c r="F18" s="18" t="s">
        <v>117</v>
      </c>
      <c r="G18" s="35" t="s">
        <v>4</v>
      </c>
      <c r="H18" s="37">
        <v>43174</v>
      </c>
      <c r="I18" s="38">
        <f t="shared" si="48"/>
        <v>43188</v>
      </c>
      <c r="J18" s="39">
        <v>15</v>
      </c>
      <c r="K18" s="40">
        <v>1</v>
      </c>
      <c r="L18" s="39">
        <f t="shared" si="49"/>
        <v>11</v>
      </c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42"/>
      <c r="AG18" s="42"/>
      <c r="AH18" s="42"/>
      <c r="AI18" s="42"/>
      <c r="AJ18" s="42"/>
      <c r="AK18" s="42"/>
      <c r="AL18" s="42"/>
      <c r="AM18" s="42"/>
      <c r="AN18" s="42"/>
      <c r="AO18" s="42"/>
      <c r="AP18" s="42"/>
      <c r="AQ18" s="42"/>
      <c r="AR18" s="42"/>
      <c r="AS18" s="42"/>
      <c r="AT18" s="42"/>
      <c r="AU18" s="42"/>
      <c r="AV18" s="42"/>
      <c r="AW18" s="42"/>
      <c r="AX18" s="42"/>
      <c r="AY18" s="42"/>
      <c r="AZ18" s="42"/>
      <c r="BA18" s="42"/>
      <c r="BB18" s="42"/>
      <c r="BC18" s="42"/>
      <c r="BD18" s="42"/>
      <c r="BE18" s="42"/>
      <c r="BF18" s="42"/>
      <c r="BG18" s="42"/>
      <c r="BH18" s="42"/>
      <c r="BI18" s="42"/>
      <c r="BJ18" s="42"/>
      <c r="BK18" s="42"/>
      <c r="BL18" s="42"/>
      <c r="BM18" s="42"/>
      <c r="BN18" s="42"/>
      <c r="BO18" s="42"/>
      <c r="BP18" s="42"/>
      <c r="BQ18" s="42"/>
    </row>
    <row r="19" spans="1:69" x14ac:dyDescent="0.25">
      <c r="A19" s="34">
        <v>12</v>
      </c>
      <c r="B19" s="35" t="s">
        <v>87</v>
      </c>
      <c r="C19" s="146"/>
      <c r="D19" s="36" t="s">
        <v>93</v>
      </c>
      <c r="E19" s="35" t="s">
        <v>84</v>
      </c>
      <c r="F19" s="18" t="s">
        <v>94</v>
      </c>
      <c r="G19" s="35" t="s">
        <v>92</v>
      </c>
      <c r="H19" s="37">
        <v>43192</v>
      </c>
      <c r="I19" s="38">
        <f t="shared" si="48"/>
        <v>43192</v>
      </c>
      <c r="J19" s="39">
        <v>1</v>
      </c>
      <c r="K19" s="40">
        <v>1</v>
      </c>
      <c r="L19" s="39">
        <f t="shared" si="49"/>
        <v>1</v>
      </c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</row>
    <row r="20" spans="1:69" x14ac:dyDescent="0.25">
      <c r="A20" s="34">
        <v>13</v>
      </c>
      <c r="B20" s="35" t="s">
        <v>69</v>
      </c>
      <c r="C20" s="146" t="s">
        <v>58</v>
      </c>
      <c r="D20" s="36" t="s">
        <v>72</v>
      </c>
      <c r="E20" s="35" t="s">
        <v>130</v>
      </c>
      <c r="F20" s="18" t="s">
        <v>75</v>
      </c>
      <c r="G20" s="35" t="s">
        <v>6</v>
      </c>
      <c r="H20" s="37">
        <v>43191</v>
      </c>
      <c r="I20" s="38">
        <f t="shared" si="48"/>
        <v>43205</v>
      </c>
      <c r="J20" s="39">
        <v>15</v>
      </c>
      <c r="K20" s="40">
        <v>1</v>
      </c>
      <c r="L20" s="39">
        <f t="shared" si="49"/>
        <v>10</v>
      </c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</row>
    <row r="21" spans="1:69" x14ac:dyDescent="0.25">
      <c r="A21" s="34">
        <v>14</v>
      </c>
      <c r="B21" s="35" t="s">
        <v>69</v>
      </c>
      <c r="C21" s="146"/>
      <c r="D21" s="36" t="s">
        <v>288</v>
      </c>
      <c r="E21" s="35" t="s">
        <v>278</v>
      </c>
      <c r="F21" s="18" t="s">
        <v>279</v>
      </c>
      <c r="G21" s="35" t="s">
        <v>6</v>
      </c>
      <c r="H21" s="37">
        <v>43201</v>
      </c>
      <c r="I21" s="38">
        <f t="shared" si="48"/>
        <v>43210</v>
      </c>
      <c r="J21" s="39">
        <v>10</v>
      </c>
      <c r="K21" s="40">
        <v>1</v>
      </c>
      <c r="L21" s="39">
        <f t="shared" si="49"/>
        <v>8</v>
      </c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</row>
    <row r="22" spans="1:69" x14ac:dyDescent="0.25">
      <c r="A22" s="34">
        <v>15</v>
      </c>
      <c r="B22" s="35" t="s">
        <v>87</v>
      </c>
      <c r="C22" s="146"/>
      <c r="D22" s="36" t="s">
        <v>90</v>
      </c>
      <c r="E22" s="35" t="s">
        <v>84</v>
      </c>
      <c r="F22" s="18" t="s">
        <v>91</v>
      </c>
      <c r="G22" s="35" t="s">
        <v>92</v>
      </c>
      <c r="H22" s="37">
        <v>43215</v>
      </c>
      <c r="I22" s="38">
        <f t="shared" si="48"/>
        <v>43215</v>
      </c>
      <c r="J22" s="39">
        <v>1</v>
      </c>
      <c r="K22" s="40">
        <v>1</v>
      </c>
      <c r="L22" s="39">
        <f t="shared" si="49"/>
        <v>1</v>
      </c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42"/>
      <c r="AG22" s="42"/>
      <c r="AH22" s="42"/>
      <c r="AI22" s="42"/>
      <c r="AJ22" s="42"/>
      <c r="AK22" s="42"/>
      <c r="AL22" s="42"/>
      <c r="AM22" s="42"/>
      <c r="AN22" s="42"/>
      <c r="AO22" s="42"/>
      <c r="AP22" s="42"/>
      <c r="AQ22" s="42"/>
      <c r="AR22" s="42"/>
      <c r="AS22" s="42"/>
      <c r="AT22" s="42"/>
      <c r="AU22" s="42"/>
      <c r="AV22" s="42"/>
      <c r="AW22" s="42"/>
      <c r="AX22" s="42"/>
      <c r="AY22" s="42"/>
      <c r="AZ22" s="42"/>
      <c r="BA22" s="42"/>
      <c r="BB22" s="42"/>
      <c r="BC22" s="42"/>
      <c r="BD22" s="42"/>
      <c r="BE22" s="42"/>
      <c r="BF22" s="42"/>
      <c r="BG22" s="42"/>
      <c r="BH22" s="42"/>
      <c r="BI22" s="42"/>
      <c r="BJ22" s="42"/>
      <c r="BK22" s="42"/>
      <c r="BL22" s="42"/>
      <c r="BM22" s="42"/>
      <c r="BN22" s="42"/>
      <c r="BO22" s="42"/>
      <c r="BP22" s="42"/>
      <c r="BQ22" s="42"/>
    </row>
    <row r="23" spans="1:69" x14ac:dyDescent="0.25">
      <c r="A23" s="34">
        <v>16</v>
      </c>
      <c r="B23" s="35" t="s">
        <v>87</v>
      </c>
      <c r="C23" s="146"/>
      <c r="D23" s="36" t="s">
        <v>83</v>
      </c>
      <c r="E23" s="35" t="s">
        <v>84</v>
      </c>
      <c r="F23" s="18" t="s">
        <v>85</v>
      </c>
      <c r="G23" s="35" t="s">
        <v>86</v>
      </c>
      <c r="H23" s="37">
        <v>43218</v>
      </c>
      <c r="I23" s="38">
        <f t="shared" si="48"/>
        <v>43218</v>
      </c>
      <c r="J23" s="39">
        <v>1</v>
      </c>
      <c r="K23" s="40">
        <v>1</v>
      </c>
      <c r="L23" s="39">
        <f t="shared" si="49"/>
        <v>0</v>
      </c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42"/>
      <c r="Y23" s="42"/>
      <c r="Z23" s="42"/>
      <c r="AA23" s="42"/>
      <c r="AB23" s="42"/>
      <c r="AC23" s="42"/>
      <c r="AD23" s="42"/>
      <c r="AE23" s="42"/>
      <c r="AF23" s="42"/>
      <c r="AG23" s="42"/>
      <c r="AH23" s="42"/>
      <c r="AI23" s="42"/>
      <c r="AJ23" s="42"/>
      <c r="AK23" s="42"/>
      <c r="AL23" s="42"/>
      <c r="AM23" s="42"/>
      <c r="AN23" s="42"/>
      <c r="AO23" s="42"/>
      <c r="AP23" s="42"/>
      <c r="AQ23" s="42"/>
      <c r="AR23" s="42"/>
      <c r="AS23" s="42"/>
      <c r="AT23" s="42"/>
      <c r="AU23" s="42"/>
      <c r="AV23" s="42"/>
      <c r="AW23" s="42"/>
      <c r="AX23" s="42"/>
      <c r="AY23" s="42"/>
      <c r="AZ23" s="42"/>
      <c r="BA23" s="42"/>
      <c r="BB23" s="42"/>
      <c r="BC23" s="42"/>
      <c r="BD23" s="42"/>
      <c r="BE23" s="42"/>
      <c r="BF23" s="42"/>
      <c r="BG23" s="42"/>
      <c r="BH23" s="42"/>
      <c r="BI23" s="42"/>
      <c r="BJ23" s="42"/>
      <c r="BK23" s="42"/>
      <c r="BL23" s="42"/>
      <c r="BM23" s="42"/>
      <c r="BN23" s="42"/>
      <c r="BO23" s="42"/>
      <c r="BP23" s="42"/>
      <c r="BQ23" s="42"/>
    </row>
    <row r="24" spans="1:69" x14ac:dyDescent="0.25">
      <c r="A24" s="34">
        <v>17</v>
      </c>
      <c r="B24" s="35" t="s">
        <v>74</v>
      </c>
      <c r="C24" s="146"/>
      <c r="D24" s="36" t="s">
        <v>79</v>
      </c>
      <c r="E24" s="35" t="s">
        <v>131</v>
      </c>
      <c r="F24" s="18" t="s">
        <v>71</v>
      </c>
      <c r="G24" s="35" t="s">
        <v>6</v>
      </c>
      <c r="H24" s="37">
        <v>43211</v>
      </c>
      <c r="I24" s="38">
        <f t="shared" si="48"/>
        <v>43220</v>
      </c>
      <c r="J24" s="39">
        <v>10</v>
      </c>
      <c r="K24" s="40">
        <v>1</v>
      </c>
      <c r="L24" s="39">
        <f t="shared" si="49"/>
        <v>6</v>
      </c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42"/>
      <c r="Y24" s="42"/>
      <c r="Z24" s="42"/>
      <c r="AA24" s="42"/>
      <c r="AB24" s="42"/>
      <c r="AC24" s="42"/>
      <c r="AD24" s="42"/>
      <c r="AE24" s="42"/>
      <c r="AF24" s="42"/>
      <c r="AG24" s="42"/>
      <c r="AH24" s="42"/>
      <c r="AI24" s="42"/>
      <c r="AJ24" s="42"/>
      <c r="AK24" s="42"/>
      <c r="AL24" s="42"/>
      <c r="AM24" s="42"/>
      <c r="AN24" s="42"/>
      <c r="AO24" s="42"/>
      <c r="AP24" s="42"/>
      <c r="AQ24" s="42"/>
      <c r="AR24" s="42"/>
      <c r="AS24" s="42"/>
      <c r="AT24" s="42"/>
      <c r="AU24" s="42"/>
      <c r="AV24" s="42"/>
      <c r="AW24" s="42"/>
      <c r="AX24" s="42"/>
      <c r="AY24" s="42"/>
      <c r="AZ24" s="42"/>
      <c r="BA24" s="42"/>
      <c r="BB24" s="42"/>
      <c r="BC24" s="42"/>
      <c r="BD24" s="42"/>
      <c r="BE24" s="42"/>
      <c r="BF24" s="42"/>
      <c r="BG24" s="42"/>
      <c r="BH24" s="42"/>
      <c r="BI24" s="42"/>
      <c r="BJ24" s="42"/>
      <c r="BK24" s="42"/>
      <c r="BL24" s="42"/>
      <c r="BM24" s="42"/>
      <c r="BN24" s="42"/>
      <c r="BO24" s="42"/>
      <c r="BP24" s="42"/>
      <c r="BQ24" s="42"/>
    </row>
    <row r="25" spans="1:69" x14ac:dyDescent="0.25">
      <c r="A25" s="34">
        <v>18</v>
      </c>
      <c r="B25" s="35" t="s">
        <v>87</v>
      </c>
      <c r="C25" s="146"/>
      <c r="D25" s="36" t="s">
        <v>95</v>
      </c>
      <c r="E25" s="35" t="s">
        <v>84</v>
      </c>
      <c r="F25" s="18" t="s">
        <v>96</v>
      </c>
      <c r="G25" s="35" t="s">
        <v>86</v>
      </c>
      <c r="H25" s="37">
        <v>43223</v>
      </c>
      <c r="I25" s="38">
        <f t="shared" si="48"/>
        <v>43223</v>
      </c>
      <c r="J25" s="39">
        <v>1</v>
      </c>
      <c r="K25" s="40">
        <v>1</v>
      </c>
      <c r="L25" s="39">
        <f t="shared" si="49"/>
        <v>1</v>
      </c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</row>
    <row r="26" spans="1:69" x14ac:dyDescent="0.25">
      <c r="A26" s="34">
        <v>19</v>
      </c>
      <c r="B26" s="35" t="s">
        <v>87</v>
      </c>
      <c r="C26" s="146"/>
      <c r="D26" s="36" t="s">
        <v>102</v>
      </c>
      <c r="E26" s="35" t="s">
        <v>84</v>
      </c>
      <c r="F26" s="18" t="s">
        <v>101</v>
      </c>
      <c r="G26" s="35" t="s">
        <v>86</v>
      </c>
      <c r="H26" s="37">
        <v>43223</v>
      </c>
      <c r="I26" s="38">
        <f t="shared" si="48"/>
        <v>43223</v>
      </c>
      <c r="J26" s="39">
        <v>1</v>
      </c>
      <c r="K26" s="40">
        <v>1</v>
      </c>
      <c r="L26" s="39">
        <f t="shared" si="49"/>
        <v>1</v>
      </c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</row>
    <row r="27" spans="1:69" x14ac:dyDescent="0.25">
      <c r="A27" s="34">
        <v>20</v>
      </c>
      <c r="B27" s="35" t="s">
        <v>87</v>
      </c>
      <c r="C27" s="146"/>
      <c r="D27" s="36" t="s">
        <v>103</v>
      </c>
      <c r="E27" s="35" t="s">
        <v>84</v>
      </c>
      <c r="F27" s="18" t="s">
        <v>104</v>
      </c>
      <c r="G27" s="35" t="s">
        <v>86</v>
      </c>
      <c r="H27" s="37">
        <v>43223</v>
      </c>
      <c r="I27" s="38">
        <f t="shared" si="48"/>
        <v>43223</v>
      </c>
      <c r="J27" s="39">
        <v>1</v>
      </c>
      <c r="K27" s="40">
        <v>1</v>
      </c>
      <c r="L27" s="39">
        <f t="shared" si="49"/>
        <v>1</v>
      </c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</row>
    <row r="28" spans="1:69" ht="19.5" customHeight="1" x14ac:dyDescent="0.25">
      <c r="A28" s="34">
        <v>21</v>
      </c>
      <c r="B28" s="35" t="s">
        <v>87</v>
      </c>
      <c r="C28" s="146"/>
      <c r="D28" s="36" t="s">
        <v>88</v>
      </c>
      <c r="E28" s="35" t="s">
        <v>84</v>
      </c>
      <c r="F28" s="18" t="s">
        <v>89</v>
      </c>
      <c r="G28" s="35" t="s">
        <v>86</v>
      </c>
      <c r="H28" s="37">
        <v>43245</v>
      </c>
      <c r="I28" s="38">
        <f t="shared" si="48"/>
        <v>43245</v>
      </c>
      <c r="J28" s="39">
        <v>1</v>
      </c>
      <c r="K28" s="40">
        <v>1</v>
      </c>
      <c r="L28" s="39">
        <f t="shared" si="49"/>
        <v>1</v>
      </c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</row>
    <row r="29" spans="1:69" ht="19.5" customHeight="1" x14ac:dyDescent="0.25">
      <c r="A29" s="34">
        <v>22</v>
      </c>
      <c r="B29" s="35" t="s">
        <v>74</v>
      </c>
      <c r="C29" s="146" t="s">
        <v>66</v>
      </c>
      <c r="D29" s="36" t="s">
        <v>73</v>
      </c>
      <c r="E29" s="35" t="s">
        <v>133</v>
      </c>
      <c r="F29" s="18" t="s">
        <v>75</v>
      </c>
      <c r="G29" s="35" t="s">
        <v>6</v>
      </c>
      <c r="H29" s="37">
        <v>43230</v>
      </c>
      <c r="I29" s="38">
        <f t="shared" si="48"/>
        <v>43250</v>
      </c>
      <c r="J29" s="39">
        <v>21</v>
      </c>
      <c r="K29" s="40">
        <v>1</v>
      </c>
      <c r="L29" s="39">
        <f t="shared" si="49"/>
        <v>15</v>
      </c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</row>
    <row r="30" spans="1:69" x14ac:dyDescent="0.25">
      <c r="A30" s="34">
        <v>23</v>
      </c>
      <c r="B30" s="35" t="s">
        <v>112</v>
      </c>
      <c r="C30" s="146" t="s">
        <v>66</v>
      </c>
      <c r="D30" s="36" t="s">
        <v>122</v>
      </c>
      <c r="E30" s="35" t="s">
        <v>128</v>
      </c>
      <c r="F30" s="18" t="s">
        <v>124</v>
      </c>
      <c r="G30" s="35" t="s">
        <v>6</v>
      </c>
      <c r="H30" s="37">
        <v>43252</v>
      </c>
      <c r="I30" s="38">
        <f t="shared" si="48"/>
        <v>43252</v>
      </c>
      <c r="J30" s="39">
        <v>1</v>
      </c>
      <c r="K30" s="40">
        <v>1</v>
      </c>
      <c r="L30" s="39">
        <f t="shared" si="49"/>
        <v>1</v>
      </c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</row>
    <row r="31" spans="1:69" x14ac:dyDescent="0.25">
      <c r="A31" s="34">
        <v>24</v>
      </c>
      <c r="B31" s="35" t="s">
        <v>112</v>
      </c>
      <c r="C31" s="146" t="s">
        <v>65</v>
      </c>
      <c r="D31" s="36" t="s">
        <v>121</v>
      </c>
      <c r="E31" s="35" t="s">
        <v>128</v>
      </c>
      <c r="F31" s="18" t="s">
        <v>123</v>
      </c>
      <c r="G31" s="35" t="s">
        <v>6</v>
      </c>
      <c r="H31" s="37">
        <v>43261</v>
      </c>
      <c r="I31" s="38">
        <f t="shared" si="48"/>
        <v>43267</v>
      </c>
      <c r="J31" s="39">
        <v>7</v>
      </c>
      <c r="K31" s="40">
        <v>1</v>
      </c>
      <c r="L31" s="39">
        <f t="shared" si="49"/>
        <v>5</v>
      </c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</row>
    <row r="32" spans="1:69" x14ac:dyDescent="0.25">
      <c r="A32" s="34">
        <v>25</v>
      </c>
      <c r="B32" s="35" t="s">
        <v>69</v>
      </c>
      <c r="C32" s="146" t="s">
        <v>65</v>
      </c>
      <c r="D32" s="36" t="s">
        <v>70</v>
      </c>
      <c r="E32" s="35" t="s">
        <v>132</v>
      </c>
      <c r="F32" s="18" t="s">
        <v>71</v>
      </c>
      <c r="G32" s="35" t="s">
        <v>6</v>
      </c>
      <c r="H32" s="37">
        <v>43244</v>
      </c>
      <c r="I32" s="38">
        <f t="shared" si="48"/>
        <v>43273</v>
      </c>
      <c r="J32" s="39">
        <v>30</v>
      </c>
      <c r="K32" s="40">
        <v>1</v>
      </c>
      <c r="L32" s="39">
        <f t="shared" si="49"/>
        <v>22</v>
      </c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</row>
    <row r="33" spans="1:69" x14ac:dyDescent="0.25">
      <c r="A33" s="34">
        <v>26</v>
      </c>
      <c r="B33" s="47" t="s">
        <v>21</v>
      </c>
      <c r="C33" s="148"/>
      <c r="D33" s="48" t="s">
        <v>181</v>
      </c>
      <c r="E33" s="47" t="s">
        <v>180</v>
      </c>
      <c r="F33" s="52" t="s">
        <v>224</v>
      </c>
      <c r="G33" s="47" t="s">
        <v>4</v>
      </c>
      <c r="H33" s="49">
        <v>43276</v>
      </c>
      <c r="I33" s="38">
        <f t="shared" si="48"/>
        <v>43277</v>
      </c>
      <c r="J33" s="46">
        <v>2</v>
      </c>
      <c r="K33" s="45">
        <v>1</v>
      </c>
      <c r="L33" s="46">
        <f t="shared" si="49"/>
        <v>2</v>
      </c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</row>
    <row r="34" spans="1:69" x14ac:dyDescent="0.25">
      <c r="A34" s="34">
        <v>27</v>
      </c>
      <c r="B34" s="47" t="s">
        <v>21</v>
      </c>
      <c r="C34" s="148"/>
      <c r="D34" s="48" t="s">
        <v>186</v>
      </c>
      <c r="E34" s="47" t="s">
        <v>180</v>
      </c>
      <c r="F34" s="52" t="s">
        <v>230</v>
      </c>
      <c r="G34" s="47" t="s">
        <v>5</v>
      </c>
      <c r="H34" s="49">
        <v>43281</v>
      </c>
      <c r="I34" s="38">
        <f t="shared" si="48"/>
        <v>43282</v>
      </c>
      <c r="J34" s="46">
        <v>2</v>
      </c>
      <c r="K34" s="45">
        <v>1</v>
      </c>
      <c r="L34" s="46">
        <f t="shared" si="49"/>
        <v>0</v>
      </c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42"/>
      <c r="AS34" s="42"/>
      <c r="AT34" s="42"/>
      <c r="AU34" s="42"/>
      <c r="AV34" s="42"/>
      <c r="AW34" s="42"/>
      <c r="AX34" s="42"/>
      <c r="AY34" s="42"/>
      <c r="AZ34" s="42"/>
      <c r="BA34" s="42"/>
      <c r="BB34" s="42"/>
      <c r="BC34" s="42"/>
      <c r="BD34" s="42"/>
      <c r="BE34" s="42"/>
      <c r="BF34" s="42"/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</row>
    <row r="35" spans="1:69" x14ac:dyDescent="0.25">
      <c r="A35" s="34">
        <v>28</v>
      </c>
      <c r="B35" s="47" t="s">
        <v>21</v>
      </c>
      <c r="C35" s="148"/>
      <c r="D35" s="48" t="s">
        <v>185</v>
      </c>
      <c r="E35" s="47" t="s">
        <v>180</v>
      </c>
      <c r="F35" s="52" t="s">
        <v>229</v>
      </c>
      <c r="G35" s="47" t="s">
        <v>5</v>
      </c>
      <c r="H35" s="49">
        <v>43258</v>
      </c>
      <c r="I35" s="38">
        <f t="shared" si="48"/>
        <v>43287</v>
      </c>
      <c r="J35" s="46">
        <v>30</v>
      </c>
      <c r="K35" s="45">
        <v>0.5</v>
      </c>
      <c r="L35" s="46">
        <f t="shared" si="49"/>
        <v>22</v>
      </c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</row>
    <row r="36" spans="1:69" x14ac:dyDescent="0.25">
      <c r="A36" s="34">
        <v>29</v>
      </c>
      <c r="B36" s="35" t="s">
        <v>21</v>
      </c>
      <c r="C36" s="148"/>
      <c r="D36" s="36" t="s">
        <v>182</v>
      </c>
      <c r="E36" s="47" t="s">
        <v>180</v>
      </c>
      <c r="F36" s="18" t="s">
        <v>225</v>
      </c>
      <c r="G36" s="35" t="s">
        <v>4</v>
      </c>
      <c r="H36" s="37">
        <v>43286</v>
      </c>
      <c r="I36" s="38">
        <f t="shared" si="48"/>
        <v>43293</v>
      </c>
      <c r="J36" s="39">
        <v>8</v>
      </c>
      <c r="K36" s="45">
        <v>0.25</v>
      </c>
      <c r="L36" s="46">
        <f t="shared" si="49"/>
        <v>6</v>
      </c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</row>
    <row r="37" spans="1:69" x14ac:dyDescent="0.25">
      <c r="A37" s="34">
        <v>30</v>
      </c>
      <c r="B37" s="47" t="s">
        <v>21</v>
      </c>
      <c r="C37" s="148"/>
      <c r="D37" s="48" t="s">
        <v>183</v>
      </c>
      <c r="E37" s="47" t="s">
        <v>180</v>
      </c>
      <c r="F37" s="52" t="s">
        <v>226</v>
      </c>
      <c r="G37" s="47" t="s">
        <v>4</v>
      </c>
      <c r="H37" s="49">
        <v>43286</v>
      </c>
      <c r="I37" s="38">
        <f t="shared" si="48"/>
        <v>43293</v>
      </c>
      <c r="J37" s="46">
        <v>8</v>
      </c>
      <c r="K37" s="45">
        <v>0</v>
      </c>
      <c r="L37" s="46">
        <f t="shared" si="49"/>
        <v>6</v>
      </c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</row>
    <row r="38" spans="1:69" x14ac:dyDescent="0.25">
      <c r="A38" s="34">
        <v>31</v>
      </c>
      <c r="B38" s="47" t="s">
        <v>21</v>
      </c>
      <c r="C38" s="148"/>
      <c r="D38" s="48" t="s">
        <v>184</v>
      </c>
      <c r="E38" s="47" t="s">
        <v>180</v>
      </c>
      <c r="F38" s="52" t="s">
        <v>227</v>
      </c>
      <c r="G38" s="47" t="s">
        <v>4</v>
      </c>
      <c r="H38" s="49">
        <v>43286</v>
      </c>
      <c r="I38" s="38">
        <f t="shared" si="48"/>
        <v>43293</v>
      </c>
      <c r="J38" s="46">
        <v>8</v>
      </c>
      <c r="K38" s="45">
        <v>0</v>
      </c>
      <c r="L38" s="46">
        <f t="shared" si="49"/>
        <v>6</v>
      </c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</row>
    <row r="39" spans="1:69" x14ac:dyDescent="0.25">
      <c r="A39" s="34">
        <v>32</v>
      </c>
      <c r="B39" s="47" t="s">
        <v>21</v>
      </c>
      <c r="C39" s="146"/>
      <c r="D39" s="36" t="s">
        <v>203</v>
      </c>
      <c r="E39" s="47" t="s">
        <v>180</v>
      </c>
      <c r="F39" s="18" t="s">
        <v>244</v>
      </c>
      <c r="G39" s="35" t="s">
        <v>272</v>
      </c>
      <c r="H39" s="37">
        <v>43286</v>
      </c>
      <c r="I39" s="38">
        <f t="shared" si="48"/>
        <v>43293</v>
      </c>
      <c r="J39" s="39">
        <v>8</v>
      </c>
      <c r="K39" s="45">
        <v>0</v>
      </c>
      <c r="L39" s="39">
        <f t="shared" si="49"/>
        <v>6</v>
      </c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</row>
    <row r="40" spans="1:69" x14ac:dyDescent="0.25">
      <c r="A40" s="34">
        <v>33</v>
      </c>
      <c r="B40" s="47" t="s">
        <v>21</v>
      </c>
      <c r="C40" s="146"/>
      <c r="D40" s="36" t="s">
        <v>204</v>
      </c>
      <c r="E40" s="47" t="s">
        <v>180</v>
      </c>
      <c r="F40" s="18" t="s">
        <v>245</v>
      </c>
      <c r="G40" s="35" t="s">
        <v>272</v>
      </c>
      <c r="H40" s="37">
        <v>43286</v>
      </c>
      <c r="I40" s="38">
        <f t="shared" ref="I40:I71" si="50">IF(ISBLANK(H40)," - ",IF(J40=0,H40,H40+J40-1))</f>
        <v>43293</v>
      </c>
      <c r="J40" s="39">
        <v>8</v>
      </c>
      <c r="K40" s="45">
        <v>0</v>
      </c>
      <c r="L40" s="39">
        <f t="shared" ref="L40:L71" si="51">IF(OR(I40=0,H40=0)," - ",NETWORKDAYS(H40,I40))</f>
        <v>6</v>
      </c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</row>
    <row r="41" spans="1:69" x14ac:dyDescent="0.25">
      <c r="A41" s="34">
        <v>34</v>
      </c>
      <c r="B41" s="47" t="s">
        <v>21</v>
      </c>
      <c r="C41" s="146"/>
      <c r="D41" s="36" t="s">
        <v>205</v>
      </c>
      <c r="E41" s="47" t="s">
        <v>180</v>
      </c>
      <c r="F41" s="18" t="s">
        <v>246</v>
      </c>
      <c r="G41" s="35" t="s">
        <v>272</v>
      </c>
      <c r="H41" s="37">
        <v>43286</v>
      </c>
      <c r="I41" s="38">
        <f t="shared" si="50"/>
        <v>43293</v>
      </c>
      <c r="J41" s="39">
        <v>8</v>
      </c>
      <c r="K41" s="45">
        <v>0</v>
      </c>
      <c r="L41" s="39">
        <f t="shared" si="51"/>
        <v>6</v>
      </c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</row>
    <row r="42" spans="1:69" x14ac:dyDescent="0.25">
      <c r="A42" s="34">
        <v>35</v>
      </c>
      <c r="B42" s="47" t="s">
        <v>21</v>
      </c>
      <c r="C42" s="146"/>
      <c r="D42" s="36" t="s">
        <v>206</v>
      </c>
      <c r="E42" s="47" t="s">
        <v>180</v>
      </c>
      <c r="F42" s="18" t="s">
        <v>247</v>
      </c>
      <c r="G42" s="35" t="s">
        <v>272</v>
      </c>
      <c r="H42" s="37">
        <v>43286</v>
      </c>
      <c r="I42" s="38">
        <f t="shared" si="50"/>
        <v>43293</v>
      </c>
      <c r="J42" s="39">
        <v>8</v>
      </c>
      <c r="K42" s="45">
        <v>0</v>
      </c>
      <c r="L42" s="39">
        <f t="shared" si="51"/>
        <v>6</v>
      </c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</row>
    <row r="43" spans="1:69" x14ac:dyDescent="0.25">
      <c r="A43" s="34">
        <v>36</v>
      </c>
      <c r="B43" s="47" t="s">
        <v>21</v>
      </c>
      <c r="C43" s="146"/>
      <c r="D43" s="36" t="s">
        <v>289</v>
      </c>
      <c r="E43" s="47" t="s">
        <v>180</v>
      </c>
      <c r="F43" s="18" t="s">
        <v>248</v>
      </c>
      <c r="G43" s="35" t="s">
        <v>272</v>
      </c>
      <c r="H43" s="37">
        <v>43286</v>
      </c>
      <c r="I43" s="38">
        <f t="shared" si="50"/>
        <v>43293</v>
      </c>
      <c r="J43" s="39">
        <v>8</v>
      </c>
      <c r="K43" s="45">
        <v>0</v>
      </c>
      <c r="L43" s="39">
        <f t="shared" si="51"/>
        <v>6</v>
      </c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</row>
    <row r="44" spans="1:69" x14ac:dyDescent="0.25">
      <c r="A44" s="34">
        <v>37</v>
      </c>
      <c r="B44" s="47" t="s">
        <v>21</v>
      </c>
      <c r="C44" s="146"/>
      <c r="D44" s="36" t="s">
        <v>207</v>
      </c>
      <c r="E44" s="47" t="s">
        <v>180</v>
      </c>
      <c r="F44" s="18" t="s">
        <v>249</v>
      </c>
      <c r="G44" s="35" t="s">
        <v>272</v>
      </c>
      <c r="H44" s="37">
        <v>43286</v>
      </c>
      <c r="I44" s="38">
        <f t="shared" si="50"/>
        <v>43293</v>
      </c>
      <c r="J44" s="39">
        <v>8</v>
      </c>
      <c r="K44" s="45">
        <v>0</v>
      </c>
      <c r="L44" s="39">
        <f t="shared" si="51"/>
        <v>6</v>
      </c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</row>
    <row r="45" spans="1:69" x14ac:dyDescent="0.25">
      <c r="A45" s="34">
        <v>38</v>
      </c>
      <c r="B45" s="47" t="s">
        <v>21</v>
      </c>
      <c r="C45" s="146"/>
      <c r="D45" s="36" t="s">
        <v>208</v>
      </c>
      <c r="E45" s="47" t="s">
        <v>180</v>
      </c>
      <c r="F45" s="18" t="s">
        <v>250</v>
      </c>
      <c r="G45" s="35" t="s">
        <v>272</v>
      </c>
      <c r="H45" s="37">
        <v>43286</v>
      </c>
      <c r="I45" s="38">
        <f t="shared" si="50"/>
        <v>43293</v>
      </c>
      <c r="J45" s="39">
        <v>8</v>
      </c>
      <c r="K45" s="45">
        <v>0</v>
      </c>
      <c r="L45" s="39">
        <f t="shared" si="51"/>
        <v>6</v>
      </c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</row>
    <row r="46" spans="1:69" x14ac:dyDescent="0.25">
      <c r="A46" s="34">
        <v>39</v>
      </c>
      <c r="B46" s="47" t="s">
        <v>21</v>
      </c>
      <c r="C46" s="148"/>
      <c r="D46" s="48" t="s">
        <v>195</v>
      </c>
      <c r="E46" s="47" t="s">
        <v>180</v>
      </c>
      <c r="F46" s="52" t="s">
        <v>240</v>
      </c>
      <c r="G46" s="47" t="s">
        <v>22</v>
      </c>
      <c r="H46" s="49">
        <v>43298</v>
      </c>
      <c r="I46" s="38">
        <f t="shared" si="50"/>
        <v>43301</v>
      </c>
      <c r="J46" s="46">
        <v>4</v>
      </c>
      <c r="K46" s="45">
        <v>0</v>
      </c>
      <c r="L46" s="46">
        <f t="shared" si="51"/>
        <v>4</v>
      </c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</row>
    <row r="47" spans="1:69" x14ac:dyDescent="0.25">
      <c r="A47" s="34">
        <v>40</v>
      </c>
      <c r="B47" s="35" t="s">
        <v>69</v>
      </c>
      <c r="C47" s="146"/>
      <c r="D47" s="36" t="s">
        <v>288</v>
      </c>
      <c r="E47" s="35" t="s">
        <v>278</v>
      </c>
      <c r="F47" s="18" t="s">
        <v>279</v>
      </c>
      <c r="G47" s="35" t="s">
        <v>6</v>
      </c>
      <c r="H47" s="37">
        <v>43292</v>
      </c>
      <c r="I47" s="38">
        <f t="shared" si="50"/>
        <v>43301</v>
      </c>
      <c r="J47" s="39">
        <v>10</v>
      </c>
      <c r="K47" s="40">
        <v>0</v>
      </c>
      <c r="L47" s="39">
        <f t="shared" si="51"/>
        <v>8</v>
      </c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</row>
    <row r="48" spans="1:69" x14ac:dyDescent="0.25">
      <c r="A48" s="34">
        <v>41</v>
      </c>
      <c r="B48" s="35" t="s">
        <v>87</v>
      </c>
      <c r="C48" s="146"/>
      <c r="D48" s="36" t="s">
        <v>90</v>
      </c>
      <c r="E48" s="35" t="s">
        <v>84</v>
      </c>
      <c r="F48" s="18" t="s">
        <v>91</v>
      </c>
      <c r="G48" s="35" t="s">
        <v>92</v>
      </c>
      <c r="H48" s="37">
        <v>43306</v>
      </c>
      <c r="I48" s="38">
        <f t="shared" si="50"/>
        <v>43306</v>
      </c>
      <c r="J48" s="39">
        <v>1</v>
      </c>
      <c r="K48" s="40">
        <v>0</v>
      </c>
      <c r="L48" s="39">
        <f t="shared" si="51"/>
        <v>1</v>
      </c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</row>
    <row r="49" spans="1:69" x14ac:dyDescent="0.25">
      <c r="A49" s="34">
        <v>42</v>
      </c>
      <c r="B49" s="35" t="s">
        <v>87</v>
      </c>
      <c r="C49" s="146"/>
      <c r="D49" s="36" t="s">
        <v>93</v>
      </c>
      <c r="E49" s="35" t="s">
        <v>84</v>
      </c>
      <c r="F49" s="18" t="s">
        <v>94</v>
      </c>
      <c r="G49" s="35" t="s">
        <v>92</v>
      </c>
      <c r="H49" s="37">
        <v>43306</v>
      </c>
      <c r="I49" s="38">
        <f t="shared" si="50"/>
        <v>43306</v>
      </c>
      <c r="J49" s="39">
        <v>1</v>
      </c>
      <c r="K49" s="40">
        <v>0</v>
      </c>
      <c r="L49" s="39">
        <f t="shared" si="51"/>
        <v>1</v>
      </c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</row>
    <row r="50" spans="1:69" x14ac:dyDescent="0.25">
      <c r="A50" s="34">
        <v>43</v>
      </c>
      <c r="B50" s="47" t="s">
        <v>21</v>
      </c>
      <c r="C50" s="148"/>
      <c r="D50" s="48" t="s">
        <v>290</v>
      </c>
      <c r="E50" s="47" t="s">
        <v>180</v>
      </c>
      <c r="F50" s="52" t="s">
        <v>228</v>
      </c>
      <c r="G50" s="47" t="s">
        <v>4</v>
      </c>
      <c r="H50" s="49">
        <v>43280</v>
      </c>
      <c r="I50" s="38">
        <f t="shared" si="50"/>
        <v>43309</v>
      </c>
      <c r="J50" s="46">
        <v>30</v>
      </c>
      <c r="K50" s="45">
        <v>0.2</v>
      </c>
      <c r="L50" s="46">
        <f t="shared" si="51"/>
        <v>21</v>
      </c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</row>
    <row r="51" spans="1:69" x14ac:dyDescent="0.25">
      <c r="A51" s="34">
        <v>44</v>
      </c>
      <c r="B51" s="47" t="s">
        <v>21</v>
      </c>
      <c r="C51" s="148" t="s">
        <v>65</v>
      </c>
      <c r="D51" s="48" t="s">
        <v>191</v>
      </c>
      <c r="E51" s="47" t="s">
        <v>180</v>
      </c>
      <c r="F51" s="52" t="s">
        <v>236</v>
      </c>
      <c r="G51" s="47" t="s">
        <v>268</v>
      </c>
      <c r="H51" s="49">
        <v>43281</v>
      </c>
      <c r="I51" s="38">
        <f t="shared" si="50"/>
        <v>43310</v>
      </c>
      <c r="J51" s="46">
        <v>30</v>
      </c>
      <c r="K51" s="45">
        <v>0.2</v>
      </c>
      <c r="L51" s="46">
        <f t="shared" si="51"/>
        <v>20</v>
      </c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</row>
    <row r="52" spans="1:69" x14ac:dyDescent="0.25">
      <c r="A52" s="34">
        <v>45</v>
      </c>
      <c r="B52" s="47" t="s">
        <v>21</v>
      </c>
      <c r="C52" s="148" t="s">
        <v>58</v>
      </c>
      <c r="D52" s="48" t="s">
        <v>196</v>
      </c>
      <c r="E52" s="47" t="s">
        <v>180</v>
      </c>
      <c r="F52" s="52" t="s">
        <v>241</v>
      </c>
      <c r="G52" s="47" t="s">
        <v>269</v>
      </c>
      <c r="H52" s="49">
        <v>43296</v>
      </c>
      <c r="I52" s="38">
        <f t="shared" si="50"/>
        <v>43310</v>
      </c>
      <c r="J52" s="46">
        <v>15</v>
      </c>
      <c r="K52" s="45">
        <v>0</v>
      </c>
      <c r="L52" s="46">
        <f t="shared" si="51"/>
        <v>10</v>
      </c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</row>
    <row r="53" spans="1:69" x14ac:dyDescent="0.25">
      <c r="A53" s="34">
        <v>46</v>
      </c>
      <c r="B53" s="47" t="s">
        <v>21</v>
      </c>
      <c r="C53" s="146"/>
      <c r="D53" s="36" t="s">
        <v>209</v>
      </c>
      <c r="E53" s="47" t="s">
        <v>180</v>
      </c>
      <c r="F53" s="18" t="s">
        <v>251</v>
      </c>
      <c r="G53" s="35" t="s">
        <v>273</v>
      </c>
      <c r="H53" s="37">
        <v>43296</v>
      </c>
      <c r="I53" s="38">
        <f t="shared" si="50"/>
        <v>43310</v>
      </c>
      <c r="J53" s="39">
        <v>15</v>
      </c>
      <c r="K53" s="45">
        <v>0</v>
      </c>
      <c r="L53" s="39">
        <f t="shared" si="51"/>
        <v>10</v>
      </c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</row>
    <row r="54" spans="1:69" x14ac:dyDescent="0.25">
      <c r="A54" s="34">
        <v>47</v>
      </c>
      <c r="B54" s="47" t="s">
        <v>21</v>
      </c>
      <c r="C54" s="146"/>
      <c r="D54" s="36" t="s">
        <v>210</v>
      </c>
      <c r="E54" s="47" t="s">
        <v>180</v>
      </c>
      <c r="F54" s="18" t="s">
        <v>252</v>
      </c>
      <c r="G54" s="35" t="s">
        <v>273</v>
      </c>
      <c r="H54" s="37">
        <v>43296</v>
      </c>
      <c r="I54" s="38">
        <f t="shared" si="50"/>
        <v>43310</v>
      </c>
      <c r="J54" s="39">
        <v>15</v>
      </c>
      <c r="K54" s="45">
        <v>0</v>
      </c>
      <c r="L54" s="39">
        <f t="shared" si="51"/>
        <v>10</v>
      </c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</row>
    <row r="55" spans="1:69" x14ac:dyDescent="0.25">
      <c r="A55" s="34">
        <v>48</v>
      </c>
      <c r="B55" s="47" t="s">
        <v>21</v>
      </c>
      <c r="C55" s="146"/>
      <c r="D55" s="36" t="s">
        <v>211</v>
      </c>
      <c r="E55" s="47" t="s">
        <v>180</v>
      </c>
      <c r="F55" s="18" t="s">
        <v>253</v>
      </c>
      <c r="G55" s="35" t="s">
        <v>273</v>
      </c>
      <c r="H55" s="37">
        <v>43296</v>
      </c>
      <c r="I55" s="38">
        <f t="shared" si="50"/>
        <v>43310</v>
      </c>
      <c r="J55" s="39">
        <v>15</v>
      </c>
      <c r="K55" s="45">
        <v>0</v>
      </c>
      <c r="L55" s="39">
        <f t="shared" si="51"/>
        <v>10</v>
      </c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42"/>
      <c r="AG55" s="42"/>
      <c r="AH55" s="42"/>
      <c r="AI55" s="42"/>
      <c r="AJ55" s="42"/>
      <c r="AK55" s="42"/>
      <c r="AL55" s="42"/>
      <c r="AM55" s="42"/>
      <c r="AN55" s="42"/>
      <c r="AO55" s="42"/>
      <c r="AP55" s="42"/>
      <c r="AQ55" s="42"/>
      <c r="AR55" s="42"/>
      <c r="AS55" s="42"/>
      <c r="AT55" s="42"/>
      <c r="AU55" s="42"/>
      <c r="AV55" s="42"/>
      <c r="AW55" s="42"/>
      <c r="AX55" s="42"/>
      <c r="AY55" s="42"/>
      <c r="AZ55" s="42"/>
      <c r="BA55" s="42"/>
      <c r="BB55" s="42"/>
      <c r="BC55" s="42"/>
      <c r="BD55" s="42"/>
      <c r="BE55" s="42"/>
      <c r="BF55" s="42"/>
      <c r="BG55" s="42"/>
      <c r="BH55" s="42"/>
      <c r="BI55" s="42"/>
      <c r="BJ55" s="42"/>
      <c r="BK55" s="42"/>
      <c r="BL55" s="42"/>
      <c r="BM55" s="42"/>
      <c r="BN55" s="42"/>
      <c r="BO55" s="42"/>
      <c r="BP55" s="42"/>
      <c r="BQ55" s="42"/>
    </row>
    <row r="56" spans="1:69" x14ac:dyDescent="0.25">
      <c r="A56" s="34">
        <v>49</v>
      </c>
      <c r="B56" s="35" t="s">
        <v>87</v>
      </c>
      <c r="C56" s="146"/>
      <c r="D56" s="36" t="s">
        <v>83</v>
      </c>
      <c r="E56" s="35" t="s">
        <v>84</v>
      </c>
      <c r="F56" s="18" t="s">
        <v>85</v>
      </c>
      <c r="G56" s="35" t="s">
        <v>86</v>
      </c>
      <c r="H56" s="37">
        <v>43311</v>
      </c>
      <c r="I56" s="38">
        <f t="shared" si="50"/>
        <v>43311</v>
      </c>
      <c r="J56" s="39">
        <v>1</v>
      </c>
      <c r="K56" s="40">
        <v>0</v>
      </c>
      <c r="L56" s="39">
        <f t="shared" si="51"/>
        <v>1</v>
      </c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42"/>
      <c r="AG56" s="42"/>
      <c r="AH56" s="42"/>
      <c r="AI56" s="42"/>
      <c r="AJ56" s="42"/>
      <c r="AK56" s="42"/>
      <c r="AL56" s="42"/>
      <c r="AM56" s="42"/>
      <c r="AN56" s="42"/>
      <c r="AO56" s="42"/>
      <c r="AP56" s="42"/>
      <c r="AQ56" s="42"/>
      <c r="AR56" s="42"/>
      <c r="AS56" s="42"/>
      <c r="AT56" s="42"/>
      <c r="AU56" s="42"/>
      <c r="AV56" s="42"/>
      <c r="AW56" s="42"/>
      <c r="AX56" s="42"/>
      <c r="AY56" s="42"/>
      <c r="AZ56" s="42"/>
      <c r="BA56" s="42"/>
      <c r="BB56" s="42"/>
      <c r="BC56" s="42"/>
      <c r="BD56" s="42"/>
      <c r="BE56" s="42"/>
      <c r="BF56" s="42"/>
      <c r="BG56" s="42"/>
      <c r="BH56" s="42"/>
      <c r="BI56" s="42"/>
      <c r="BJ56" s="42"/>
      <c r="BK56" s="42"/>
      <c r="BL56" s="42"/>
      <c r="BM56" s="42"/>
      <c r="BN56" s="42"/>
      <c r="BO56" s="42"/>
      <c r="BP56" s="42"/>
      <c r="BQ56" s="42"/>
    </row>
    <row r="57" spans="1:69" x14ac:dyDescent="0.25">
      <c r="A57" s="34">
        <v>50</v>
      </c>
      <c r="B57" s="35" t="s">
        <v>87</v>
      </c>
      <c r="C57" s="146"/>
      <c r="D57" s="36" t="s">
        <v>95</v>
      </c>
      <c r="E57" s="35" t="s">
        <v>84</v>
      </c>
      <c r="F57" s="18" t="s">
        <v>96</v>
      </c>
      <c r="G57" s="35" t="s">
        <v>86</v>
      </c>
      <c r="H57" s="37">
        <v>43311</v>
      </c>
      <c r="I57" s="38">
        <f t="shared" si="50"/>
        <v>43311</v>
      </c>
      <c r="J57" s="39">
        <v>1</v>
      </c>
      <c r="K57" s="40">
        <v>0</v>
      </c>
      <c r="L57" s="39">
        <f t="shared" si="51"/>
        <v>1</v>
      </c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</row>
    <row r="58" spans="1:69" x14ac:dyDescent="0.25">
      <c r="A58" s="34">
        <v>51</v>
      </c>
      <c r="B58" s="35" t="s">
        <v>74</v>
      </c>
      <c r="C58" s="146"/>
      <c r="D58" s="36" t="s">
        <v>80</v>
      </c>
      <c r="E58" s="35" t="s">
        <v>131</v>
      </c>
      <c r="F58" s="18" t="s">
        <v>71</v>
      </c>
      <c r="G58" s="35" t="s">
        <v>6</v>
      </c>
      <c r="H58" s="37">
        <v>43302</v>
      </c>
      <c r="I58" s="38">
        <f t="shared" si="50"/>
        <v>43311</v>
      </c>
      <c r="J58" s="39">
        <v>10</v>
      </c>
      <c r="K58" s="40">
        <v>0.05</v>
      </c>
      <c r="L58" s="39">
        <f t="shared" si="51"/>
        <v>6</v>
      </c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42"/>
      <c r="AG58" s="42"/>
      <c r="AH58" s="42"/>
      <c r="AI58" s="42"/>
      <c r="AJ58" s="42"/>
      <c r="AK58" s="42"/>
      <c r="AL58" s="42"/>
      <c r="AM58" s="42"/>
      <c r="AN58" s="42"/>
      <c r="AO58" s="42"/>
      <c r="AP58" s="42"/>
      <c r="AQ58" s="42"/>
      <c r="AR58" s="42"/>
      <c r="AS58" s="42"/>
      <c r="AT58" s="42"/>
      <c r="AU58" s="42"/>
      <c r="AV58" s="42"/>
      <c r="AW58" s="42"/>
      <c r="AX58" s="42"/>
      <c r="AY58" s="42"/>
      <c r="AZ58" s="42"/>
      <c r="BA58" s="42"/>
      <c r="BB58" s="42"/>
      <c r="BC58" s="42"/>
      <c r="BD58" s="42"/>
      <c r="BE58" s="42"/>
      <c r="BF58" s="42"/>
      <c r="BG58" s="42"/>
      <c r="BH58" s="42"/>
      <c r="BI58" s="42"/>
      <c r="BJ58" s="42"/>
      <c r="BK58" s="42"/>
      <c r="BL58" s="42"/>
      <c r="BM58" s="42"/>
      <c r="BN58" s="42"/>
      <c r="BO58" s="42"/>
      <c r="BP58" s="42"/>
      <c r="BQ58" s="42"/>
    </row>
    <row r="59" spans="1:69" x14ac:dyDescent="0.25">
      <c r="A59" s="34">
        <v>52</v>
      </c>
      <c r="B59" s="35" t="s">
        <v>87</v>
      </c>
      <c r="C59" s="146"/>
      <c r="D59" s="36" t="s">
        <v>102</v>
      </c>
      <c r="E59" s="35" t="s">
        <v>84</v>
      </c>
      <c r="F59" s="18" t="s">
        <v>101</v>
      </c>
      <c r="G59" s="35" t="s">
        <v>86</v>
      </c>
      <c r="H59" s="37">
        <v>43312</v>
      </c>
      <c r="I59" s="38">
        <f t="shared" si="50"/>
        <v>43312</v>
      </c>
      <c r="J59" s="39">
        <v>1</v>
      </c>
      <c r="K59" s="40">
        <v>0</v>
      </c>
      <c r="L59" s="39">
        <f t="shared" si="51"/>
        <v>1</v>
      </c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</row>
    <row r="60" spans="1:69" x14ac:dyDescent="0.25">
      <c r="A60" s="34">
        <v>53</v>
      </c>
      <c r="B60" s="35" t="s">
        <v>87</v>
      </c>
      <c r="C60" s="146"/>
      <c r="D60" s="36" t="s">
        <v>103</v>
      </c>
      <c r="E60" s="35" t="s">
        <v>84</v>
      </c>
      <c r="F60" s="18" t="s">
        <v>104</v>
      </c>
      <c r="G60" s="35" t="s">
        <v>86</v>
      </c>
      <c r="H60" s="37">
        <v>43312</v>
      </c>
      <c r="I60" s="38">
        <f t="shared" si="50"/>
        <v>43312</v>
      </c>
      <c r="J60" s="39">
        <v>1</v>
      </c>
      <c r="K60" s="40">
        <v>0</v>
      </c>
      <c r="L60" s="39">
        <f t="shared" si="51"/>
        <v>1</v>
      </c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2"/>
      <c r="AY60" s="42"/>
      <c r="AZ60" s="42"/>
      <c r="BA60" s="42"/>
      <c r="BB60" s="42"/>
      <c r="BC60" s="42"/>
      <c r="BD60" s="42"/>
      <c r="BE60" s="42"/>
      <c r="BF60" s="42"/>
      <c r="BG60" s="42"/>
      <c r="BH60" s="42"/>
      <c r="BI60" s="42"/>
      <c r="BJ60" s="42"/>
      <c r="BK60" s="42"/>
      <c r="BL60" s="42"/>
      <c r="BM60" s="42"/>
      <c r="BN60" s="42"/>
      <c r="BO60" s="42"/>
      <c r="BP60" s="42"/>
      <c r="BQ60" s="42"/>
    </row>
    <row r="61" spans="1:69" x14ac:dyDescent="0.25">
      <c r="A61" s="34">
        <v>54</v>
      </c>
      <c r="B61" s="35" t="s">
        <v>21</v>
      </c>
      <c r="C61" s="148"/>
      <c r="D61" s="36" t="s">
        <v>192</v>
      </c>
      <c r="E61" s="47" t="s">
        <v>180</v>
      </c>
      <c r="F61" s="18" t="s">
        <v>237</v>
      </c>
      <c r="G61" s="47" t="s">
        <v>291</v>
      </c>
      <c r="H61" s="37">
        <v>43306</v>
      </c>
      <c r="I61" s="38">
        <f t="shared" si="50"/>
        <v>43312</v>
      </c>
      <c r="J61" s="39">
        <v>7</v>
      </c>
      <c r="K61" s="45">
        <v>0</v>
      </c>
      <c r="L61" s="46">
        <f t="shared" si="51"/>
        <v>5</v>
      </c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</row>
    <row r="62" spans="1:69" x14ac:dyDescent="0.25">
      <c r="A62" s="34">
        <v>55</v>
      </c>
      <c r="B62" s="47" t="s">
        <v>21</v>
      </c>
      <c r="C62" s="148"/>
      <c r="D62" s="48" t="s">
        <v>193</v>
      </c>
      <c r="E62" s="47" t="s">
        <v>180</v>
      </c>
      <c r="F62" s="52" t="s">
        <v>238</v>
      </c>
      <c r="G62" s="47" t="s">
        <v>291</v>
      </c>
      <c r="H62" s="49">
        <v>43306</v>
      </c>
      <c r="I62" s="38">
        <f t="shared" si="50"/>
        <v>43312</v>
      </c>
      <c r="J62" s="46">
        <v>7</v>
      </c>
      <c r="K62" s="45">
        <v>0</v>
      </c>
      <c r="L62" s="46">
        <f t="shared" si="51"/>
        <v>5</v>
      </c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42"/>
      <c r="Y62" s="42"/>
      <c r="Z62" s="42"/>
      <c r="AA62" s="42"/>
      <c r="AB62" s="42"/>
      <c r="AC62" s="42"/>
      <c r="AD62" s="42"/>
      <c r="AE62" s="42"/>
      <c r="AF62" s="42"/>
      <c r="AG62" s="42"/>
      <c r="AH62" s="42"/>
      <c r="AI62" s="42"/>
      <c r="AJ62" s="42"/>
      <c r="AK62" s="42"/>
      <c r="AL62" s="42"/>
      <c r="AM62" s="42"/>
      <c r="AN62" s="42"/>
      <c r="AO62" s="42"/>
      <c r="AP62" s="42"/>
      <c r="AQ62" s="42"/>
      <c r="AR62" s="42"/>
      <c r="AS62" s="42"/>
      <c r="AT62" s="42"/>
      <c r="AU62" s="42"/>
      <c r="AV62" s="42"/>
      <c r="AW62" s="42"/>
      <c r="AX62" s="42"/>
      <c r="AY62" s="42"/>
      <c r="AZ62" s="42"/>
      <c r="BA62" s="42"/>
      <c r="BB62" s="42"/>
      <c r="BC62" s="42"/>
      <c r="BD62" s="42"/>
      <c r="BE62" s="42"/>
      <c r="BF62" s="42"/>
      <c r="BG62" s="42"/>
      <c r="BH62" s="42"/>
      <c r="BI62" s="42"/>
      <c r="BJ62" s="42"/>
      <c r="BK62" s="42"/>
      <c r="BL62" s="42"/>
      <c r="BM62" s="42"/>
      <c r="BN62" s="42"/>
      <c r="BO62" s="42"/>
      <c r="BP62" s="42"/>
      <c r="BQ62" s="42"/>
    </row>
    <row r="63" spans="1:69" x14ac:dyDescent="0.25">
      <c r="A63" s="34">
        <v>56</v>
      </c>
      <c r="B63" s="47" t="s">
        <v>21</v>
      </c>
      <c r="C63" s="148"/>
      <c r="D63" s="48" t="s">
        <v>194</v>
      </c>
      <c r="E63" s="47" t="s">
        <v>180</v>
      </c>
      <c r="F63" s="52" t="s">
        <v>239</v>
      </c>
      <c r="G63" s="47" t="s">
        <v>291</v>
      </c>
      <c r="H63" s="49">
        <v>43306</v>
      </c>
      <c r="I63" s="38">
        <f t="shared" si="50"/>
        <v>43312</v>
      </c>
      <c r="J63" s="46">
        <v>7</v>
      </c>
      <c r="K63" s="45">
        <v>0</v>
      </c>
      <c r="L63" s="46">
        <f t="shared" si="51"/>
        <v>5</v>
      </c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42"/>
      <c r="Y63" s="42"/>
      <c r="Z63" s="42"/>
      <c r="AA63" s="42"/>
      <c r="AB63" s="42"/>
      <c r="AC63" s="42"/>
      <c r="AD63" s="42"/>
      <c r="AE63" s="42"/>
      <c r="AF63" s="42"/>
      <c r="AG63" s="42"/>
      <c r="AH63" s="42"/>
      <c r="AI63" s="42"/>
      <c r="AJ63" s="42"/>
      <c r="AK63" s="42"/>
      <c r="AL63" s="42"/>
      <c r="AM63" s="42"/>
      <c r="AN63" s="42"/>
      <c r="AO63" s="42"/>
      <c r="AP63" s="42"/>
      <c r="AQ63" s="42"/>
      <c r="AR63" s="42"/>
      <c r="AS63" s="42"/>
      <c r="AT63" s="42"/>
      <c r="AU63" s="42"/>
      <c r="AV63" s="42"/>
      <c r="AW63" s="42"/>
      <c r="AX63" s="42"/>
      <c r="AY63" s="42"/>
      <c r="AZ63" s="42"/>
      <c r="BA63" s="42"/>
      <c r="BB63" s="42"/>
      <c r="BC63" s="42"/>
      <c r="BD63" s="42"/>
      <c r="BE63" s="42"/>
      <c r="BF63" s="42"/>
      <c r="BG63" s="42"/>
      <c r="BH63" s="42"/>
      <c r="BI63" s="42"/>
      <c r="BJ63" s="42"/>
      <c r="BK63" s="42"/>
      <c r="BL63" s="42"/>
      <c r="BM63" s="42"/>
      <c r="BN63" s="42"/>
      <c r="BO63" s="42"/>
      <c r="BP63" s="42"/>
      <c r="BQ63" s="42"/>
    </row>
    <row r="64" spans="1:69" x14ac:dyDescent="0.25">
      <c r="A64" s="34">
        <v>57</v>
      </c>
      <c r="B64" s="35" t="s">
        <v>21</v>
      </c>
      <c r="C64" s="146"/>
      <c r="D64" s="36" t="s">
        <v>187</v>
      </c>
      <c r="E64" s="47" t="s">
        <v>180</v>
      </c>
      <c r="F64" s="18" t="s">
        <v>231</v>
      </c>
      <c r="G64" s="35" t="s">
        <v>5</v>
      </c>
      <c r="H64" s="37">
        <v>43322</v>
      </c>
      <c r="I64" s="38">
        <f t="shared" si="50"/>
        <v>43328</v>
      </c>
      <c r="J64" s="39">
        <v>7</v>
      </c>
      <c r="K64" s="45">
        <v>0</v>
      </c>
      <c r="L64" s="46">
        <f t="shared" si="51"/>
        <v>5</v>
      </c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42"/>
      <c r="Y64" s="42"/>
      <c r="Z64" s="42"/>
      <c r="AA64" s="42"/>
      <c r="AB64" s="42"/>
      <c r="AC64" s="42"/>
      <c r="AD64" s="42"/>
      <c r="AE64" s="42"/>
      <c r="AF64" s="42"/>
      <c r="AG64" s="42"/>
      <c r="AH64" s="42"/>
      <c r="AI64" s="42"/>
      <c r="AJ64" s="42"/>
      <c r="AK64" s="42"/>
      <c r="AL64" s="42"/>
      <c r="AM64" s="42"/>
      <c r="AN64" s="42"/>
      <c r="AO64" s="42"/>
      <c r="AP64" s="42"/>
      <c r="AQ64" s="42"/>
      <c r="AR64" s="42"/>
      <c r="AS64" s="42"/>
      <c r="AT64" s="42"/>
      <c r="AU64" s="42"/>
      <c r="AV64" s="42"/>
      <c r="AW64" s="42"/>
      <c r="AX64" s="42"/>
      <c r="AY64" s="42"/>
      <c r="AZ64" s="42"/>
      <c r="BA64" s="42"/>
      <c r="BB64" s="42"/>
      <c r="BC64" s="42"/>
      <c r="BD64" s="42"/>
      <c r="BE64" s="42"/>
      <c r="BF64" s="42"/>
      <c r="BG64" s="42"/>
      <c r="BH64" s="42"/>
      <c r="BI64" s="42"/>
      <c r="BJ64" s="42"/>
      <c r="BK64" s="42"/>
      <c r="BL64" s="42"/>
      <c r="BM64" s="42"/>
      <c r="BN64" s="42"/>
      <c r="BO64" s="42"/>
      <c r="BP64" s="42"/>
      <c r="BQ64" s="42"/>
    </row>
    <row r="65" spans="1:69" x14ac:dyDescent="0.25">
      <c r="A65" s="34">
        <v>58</v>
      </c>
      <c r="B65" s="47" t="s">
        <v>21</v>
      </c>
      <c r="C65" s="148"/>
      <c r="D65" s="48" t="s">
        <v>197</v>
      </c>
      <c r="E65" s="47" t="s">
        <v>180</v>
      </c>
      <c r="F65" s="52" t="s">
        <v>242</v>
      </c>
      <c r="G65" s="47" t="s">
        <v>270</v>
      </c>
      <c r="H65" s="49">
        <v>43322</v>
      </c>
      <c r="I65" s="38">
        <f t="shared" si="50"/>
        <v>43328</v>
      </c>
      <c r="J65" s="46">
        <v>7</v>
      </c>
      <c r="K65" s="45">
        <v>0</v>
      </c>
      <c r="L65" s="46">
        <f t="shared" si="51"/>
        <v>5</v>
      </c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42"/>
      <c r="AG65" s="42"/>
      <c r="AH65" s="42"/>
      <c r="AI65" s="42"/>
      <c r="AJ65" s="42"/>
      <c r="AK65" s="42"/>
      <c r="AL65" s="42"/>
      <c r="AM65" s="42"/>
      <c r="AN65" s="42"/>
      <c r="AO65" s="42"/>
      <c r="AP65" s="42"/>
      <c r="AQ65" s="42"/>
      <c r="AR65" s="42"/>
      <c r="AS65" s="42"/>
      <c r="AT65" s="42"/>
      <c r="AU65" s="42"/>
      <c r="AV65" s="42"/>
      <c r="AW65" s="42"/>
      <c r="AX65" s="42"/>
      <c r="AY65" s="42"/>
      <c r="AZ65" s="42"/>
      <c r="BA65" s="42"/>
      <c r="BB65" s="42"/>
      <c r="BC65" s="42"/>
      <c r="BD65" s="42"/>
      <c r="BE65" s="42"/>
      <c r="BF65" s="42"/>
      <c r="BG65" s="42"/>
      <c r="BH65" s="42"/>
      <c r="BI65" s="42"/>
      <c r="BJ65" s="42"/>
      <c r="BK65" s="42"/>
      <c r="BL65" s="42"/>
      <c r="BM65" s="42"/>
      <c r="BN65" s="42"/>
      <c r="BO65" s="42"/>
      <c r="BP65" s="42"/>
      <c r="BQ65" s="42"/>
    </row>
    <row r="66" spans="1:69" x14ac:dyDescent="0.25">
      <c r="A66" s="34">
        <v>59</v>
      </c>
      <c r="B66" s="35" t="s">
        <v>21</v>
      </c>
      <c r="C66" s="146"/>
      <c r="D66" s="36" t="s">
        <v>198</v>
      </c>
      <c r="E66" s="47" t="s">
        <v>180</v>
      </c>
      <c r="F66" s="18" t="s">
        <v>292</v>
      </c>
      <c r="G66" s="35" t="s">
        <v>271</v>
      </c>
      <c r="H66" s="37">
        <v>43322</v>
      </c>
      <c r="I66" s="38">
        <f t="shared" si="50"/>
        <v>43328</v>
      </c>
      <c r="J66" s="39">
        <v>7</v>
      </c>
      <c r="K66" s="45">
        <v>0</v>
      </c>
      <c r="L66" s="46">
        <f t="shared" si="51"/>
        <v>5</v>
      </c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42"/>
      <c r="AG66" s="42"/>
      <c r="AH66" s="42"/>
      <c r="AI66" s="42"/>
      <c r="AJ66" s="42"/>
      <c r="AK66" s="42"/>
      <c r="AL66" s="42"/>
      <c r="AM66" s="42"/>
      <c r="AN66" s="42"/>
      <c r="AO66" s="42"/>
      <c r="AP66" s="42"/>
      <c r="AQ66" s="42"/>
      <c r="AR66" s="42"/>
      <c r="AS66" s="42"/>
      <c r="AT66" s="42"/>
      <c r="AU66" s="42"/>
      <c r="AV66" s="42"/>
      <c r="AW66" s="42"/>
      <c r="AX66" s="42"/>
      <c r="AY66" s="42"/>
      <c r="AZ66" s="42"/>
      <c r="BA66" s="42"/>
      <c r="BB66" s="42"/>
      <c r="BC66" s="42"/>
      <c r="BD66" s="42"/>
      <c r="BE66" s="42"/>
      <c r="BF66" s="42"/>
      <c r="BG66" s="42"/>
      <c r="BH66" s="42"/>
      <c r="BI66" s="42"/>
      <c r="BJ66" s="42"/>
      <c r="BK66" s="42"/>
      <c r="BL66" s="42"/>
      <c r="BM66" s="42"/>
      <c r="BN66" s="42"/>
      <c r="BO66" s="42"/>
      <c r="BP66" s="42"/>
      <c r="BQ66" s="42"/>
    </row>
    <row r="67" spans="1:69" x14ac:dyDescent="0.25">
      <c r="A67" s="34">
        <v>60</v>
      </c>
      <c r="B67" s="47" t="s">
        <v>21</v>
      </c>
      <c r="C67" s="148"/>
      <c r="D67" s="48" t="s">
        <v>199</v>
      </c>
      <c r="E67" s="47" t="s">
        <v>180</v>
      </c>
      <c r="F67" s="52" t="s">
        <v>293</v>
      </c>
      <c r="G67" s="47" t="s">
        <v>271</v>
      </c>
      <c r="H67" s="49">
        <v>43322</v>
      </c>
      <c r="I67" s="38">
        <f t="shared" si="50"/>
        <v>43328</v>
      </c>
      <c r="J67" s="46">
        <v>7</v>
      </c>
      <c r="K67" s="45">
        <v>0</v>
      </c>
      <c r="L67" s="46">
        <f t="shared" si="51"/>
        <v>5</v>
      </c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42"/>
      <c r="AG67" s="42"/>
      <c r="AH67" s="42"/>
      <c r="AI67" s="42"/>
      <c r="AJ67" s="42"/>
      <c r="AK67" s="42"/>
      <c r="AL67" s="42"/>
      <c r="AM67" s="42"/>
      <c r="AN67" s="42"/>
      <c r="AO67" s="42"/>
      <c r="AP67" s="42"/>
      <c r="AQ67" s="42"/>
      <c r="AR67" s="42"/>
      <c r="AS67" s="42"/>
      <c r="AT67" s="42"/>
      <c r="AU67" s="42"/>
      <c r="AV67" s="42"/>
      <c r="AW67" s="42"/>
      <c r="AX67" s="42"/>
      <c r="AY67" s="42"/>
      <c r="AZ67" s="42"/>
      <c r="BA67" s="42"/>
      <c r="BB67" s="42"/>
      <c r="BC67" s="42"/>
      <c r="BD67" s="42"/>
      <c r="BE67" s="42"/>
      <c r="BF67" s="42"/>
      <c r="BG67" s="42"/>
      <c r="BH67" s="42"/>
      <c r="BI67" s="42"/>
      <c r="BJ67" s="42"/>
      <c r="BK67" s="42"/>
      <c r="BL67" s="42"/>
      <c r="BM67" s="42"/>
      <c r="BN67" s="42"/>
      <c r="BO67" s="42"/>
      <c r="BP67" s="42"/>
      <c r="BQ67" s="42"/>
    </row>
    <row r="68" spans="1:69" x14ac:dyDescent="0.25">
      <c r="A68" s="34">
        <v>61</v>
      </c>
      <c r="B68" s="35" t="s">
        <v>21</v>
      </c>
      <c r="C68" s="148"/>
      <c r="D68" s="36" t="s">
        <v>294</v>
      </c>
      <c r="E68" s="47" t="s">
        <v>180</v>
      </c>
      <c r="F68" s="18" t="s">
        <v>295</v>
      </c>
      <c r="G68" s="35" t="s">
        <v>271</v>
      </c>
      <c r="H68" s="37">
        <v>43322</v>
      </c>
      <c r="I68" s="38">
        <f t="shared" si="50"/>
        <v>43328</v>
      </c>
      <c r="J68" s="39">
        <v>7</v>
      </c>
      <c r="K68" s="45">
        <v>0</v>
      </c>
      <c r="L68" s="46">
        <f t="shared" si="51"/>
        <v>5</v>
      </c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42"/>
      <c r="AG68" s="42"/>
      <c r="AH68" s="42"/>
      <c r="AI68" s="42"/>
      <c r="AJ68" s="42"/>
      <c r="AK68" s="42"/>
      <c r="AL68" s="42"/>
      <c r="AM68" s="42"/>
      <c r="AN68" s="42"/>
      <c r="AO68" s="42"/>
      <c r="AP68" s="42"/>
      <c r="AQ68" s="42"/>
      <c r="AR68" s="42"/>
      <c r="AS68" s="42"/>
      <c r="AT68" s="42"/>
      <c r="AU68" s="42"/>
      <c r="AV68" s="42"/>
      <c r="AW68" s="42"/>
      <c r="AX68" s="42"/>
      <c r="AY68" s="42"/>
      <c r="AZ68" s="42"/>
      <c r="BA68" s="42"/>
      <c r="BB68" s="42"/>
      <c r="BC68" s="42"/>
      <c r="BD68" s="42"/>
      <c r="BE68" s="42"/>
      <c r="BF68" s="42"/>
      <c r="BG68" s="42"/>
      <c r="BH68" s="42"/>
      <c r="BI68" s="42"/>
      <c r="BJ68" s="42"/>
      <c r="BK68" s="42"/>
      <c r="BL68" s="42"/>
      <c r="BM68" s="42"/>
      <c r="BN68" s="42"/>
      <c r="BO68" s="42"/>
      <c r="BP68" s="42"/>
      <c r="BQ68" s="42"/>
    </row>
    <row r="69" spans="1:69" x14ac:dyDescent="0.25">
      <c r="A69" s="34">
        <v>62</v>
      </c>
      <c r="B69" s="35" t="s">
        <v>21</v>
      </c>
      <c r="C69" s="146"/>
      <c r="D69" s="36" t="s">
        <v>200</v>
      </c>
      <c r="E69" s="47" t="s">
        <v>180</v>
      </c>
      <c r="F69" s="18" t="s">
        <v>296</v>
      </c>
      <c r="G69" s="35" t="s">
        <v>271</v>
      </c>
      <c r="H69" s="37">
        <v>43322</v>
      </c>
      <c r="I69" s="38">
        <f t="shared" si="50"/>
        <v>43328</v>
      </c>
      <c r="J69" s="39">
        <v>7</v>
      </c>
      <c r="K69" s="45">
        <v>0</v>
      </c>
      <c r="L69" s="46">
        <f t="shared" si="51"/>
        <v>5</v>
      </c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2"/>
      <c r="Z69" s="42"/>
      <c r="AA69" s="42"/>
      <c r="AB69" s="42"/>
      <c r="AC69" s="42"/>
      <c r="AD69" s="42"/>
      <c r="AE69" s="42"/>
      <c r="AF69" s="42"/>
      <c r="AG69" s="42"/>
      <c r="AH69" s="42"/>
      <c r="AI69" s="42"/>
      <c r="AJ69" s="42"/>
      <c r="AK69" s="42"/>
      <c r="AL69" s="42"/>
      <c r="AM69" s="42"/>
      <c r="AN69" s="42"/>
      <c r="AO69" s="42"/>
      <c r="AP69" s="42"/>
      <c r="AQ69" s="42"/>
      <c r="AR69" s="42"/>
      <c r="AS69" s="42"/>
      <c r="AT69" s="42"/>
      <c r="AU69" s="42"/>
      <c r="AV69" s="42"/>
      <c r="AW69" s="42"/>
      <c r="AX69" s="42"/>
      <c r="AY69" s="42"/>
      <c r="AZ69" s="42"/>
      <c r="BA69" s="42"/>
      <c r="BB69" s="42"/>
      <c r="BC69" s="42"/>
      <c r="BD69" s="42"/>
      <c r="BE69" s="42"/>
      <c r="BF69" s="42"/>
      <c r="BG69" s="42"/>
      <c r="BH69" s="42"/>
      <c r="BI69" s="42"/>
      <c r="BJ69" s="42"/>
      <c r="BK69" s="42"/>
      <c r="BL69" s="42"/>
      <c r="BM69" s="42"/>
      <c r="BN69" s="42"/>
      <c r="BO69" s="42"/>
      <c r="BP69" s="42"/>
      <c r="BQ69" s="42"/>
    </row>
    <row r="70" spans="1:69" x14ac:dyDescent="0.25">
      <c r="A70" s="34">
        <v>63</v>
      </c>
      <c r="B70" s="35" t="s">
        <v>21</v>
      </c>
      <c r="C70" s="148"/>
      <c r="D70" s="36" t="s">
        <v>201</v>
      </c>
      <c r="E70" s="47" t="s">
        <v>180</v>
      </c>
      <c r="F70" s="18" t="s">
        <v>297</v>
      </c>
      <c r="G70" s="35" t="s">
        <v>271</v>
      </c>
      <c r="H70" s="37">
        <v>43322</v>
      </c>
      <c r="I70" s="38">
        <f t="shared" si="50"/>
        <v>43328</v>
      </c>
      <c r="J70" s="39">
        <v>7</v>
      </c>
      <c r="K70" s="45">
        <v>0</v>
      </c>
      <c r="L70" s="46">
        <f t="shared" si="51"/>
        <v>5</v>
      </c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2"/>
      <c r="Z70" s="42"/>
      <c r="AA70" s="42"/>
      <c r="AB70" s="42"/>
      <c r="AC70" s="42"/>
      <c r="AD70" s="42"/>
      <c r="AE70" s="42"/>
      <c r="AF70" s="42"/>
      <c r="AG70" s="42"/>
      <c r="AH70" s="42"/>
      <c r="AI70" s="42"/>
      <c r="AJ70" s="42"/>
      <c r="AK70" s="42"/>
      <c r="AL70" s="42"/>
      <c r="AM70" s="42"/>
      <c r="AN70" s="42"/>
      <c r="AO70" s="42"/>
      <c r="AP70" s="42"/>
      <c r="AQ70" s="42"/>
      <c r="AR70" s="42"/>
      <c r="AS70" s="42"/>
      <c r="AT70" s="42"/>
      <c r="AU70" s="42"/>
      <c r="AV70" s="42"/>
      <c r="AW70" s="42"/>
      <c r="AX70" s="42"/>
      <c r="AY70" s="42"/>
      <c r="AZ70" s="42"/>
      <c r="BA70" s="42"/>
      <c r="BB70" s="42"/>
      <c r="BC70" s="42"/>
      <c r="BD70" s="42"/>
      <c r="BE70" s="42"/>
      <c r="BF70" s="42"/>
      <c r="BG70" s="42"/>
      <c r="BH70" s="42"/>
      <c r="BI70" s="42"/>
      <c r="BJ70" s="42"/>
      <c r="BK70" s="42"/>
      <c r="BL70" s="42"/>
      <c r="BM70" s="42"/>
      <c r="BN70" s="42"/>
      <c r="BO70" s="42"/>
      <c r="BP70" s="42"/>
      <c r="BQ70" s="42"/>
    </row>
    <row r="71" spans="1:69" x14ac:dyDescent="0.25">
      <c r="A71" s="34">
        <v>64</v>
      </c>
      <c r="B71" s="47" t="s">
        <v>21</v>
      </c>
      <c r="C71" s="146" t="s">
        <v>66</v>
      </c>
      <c r="D71" s="36" t="s">
        <v>214</v>
      </c>
      <c r="E71" s="47" t="s">
        <v>180</v>
      </c>
      <c r="F71" s="18" t="s">
        <v>256</v>
      </c>
      <c r="G71" s="35" t="s">
        <v>6</v>
      </c>
      <c r="H71" s="37">
        <v>43329</v>
      </c>
      <c r="I71" s="38">
        <f t="shared" si="50"/>
        <v>43343</v>
      </c>
      <c r="J71" s="39">
        <v>15</v>
      </c>
      <c r="K71" s="45">
        <v>0</v>
      </c>
      <c r="L71" s="39">
        <f t="shared" si="51"/>
        <v>11</v>
      </c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2"/>
      <c r="Z71" s="42"/>
      <c r="AA71" s="42"/>
      <c r="AB71" s="42"/>
      <c r="AC71" s="42"/>
      <c r="AD71" s="42"/>
      <c r="AE71" s="42"/>
      <c r="AF71" s="42"/>
      <c r="AG71" s="42"/>
      <c r="AH71" s="42"/>
      <c r="AI71" s="42"/>
      <c r="AJ71" s="42"/>
      <c r="AK71" s="42"/>
      <c r="AL71" s="42"/>
      <c r="AM71" s="42"/>
      <c r="AN71" s="42"/>
      <c r="AO71" s="42"/>
      <c r="AP71" s="42"/>
      <c r="AQ71" s="42"/>
      <c r="AR71" s="42"/>
      <c r="AS71" s="42"/>
      <c r="AT71" s="42"/>
      <c r="AU71" s="42"/>
      <c r="AV71" s="42"/>
      <c r="AW71" s="42"/>
      <c r="AX71" s="42"/>
      <c r="AY71" s="42"/>
      <c r="AZ71" s="42"/>
      <c r="BA71" s="42"/>
      <c r="BB71" s="42"/>
      <c r="BC71" s="42"/>
      <c r="BD71" s="42"/>
      <c r="BE71" s="42"/>
      <c r="BF71" s="42"/>
      <c r="BG71" s="42"/>
      <c r="BH71" s="42"/>
      <c r="BI71" s="42"/>
      <c r="BJ71" s="42"/>
      <c r="BK71" s="42"/>
      <c r="BL71" s="42"/>
      <c r="BM71" s="42"/>
      <c r="BN71" s="42"/>
      <c r="BO71" s="42"/>
      <c r="BP71" s="42"/>
      <c r="BQ71" s="42"/>
    </row>
    <row r="72" spans="1:69" x14ac:dyDescent="0.25">
      <c r="A72" s="34">
        <v>65</v>
      </c>
      <c r="B72" s="47" t="s">
        <v>21</v>
      </c>
      <c r="C72" s="146"/>
      <c r="D72" s="36" t="s">
        <v>215</v>
      </c>
      <c r="E72" s="47" t="s">
        <v>180</v>
      </c>
      <c r="F72" s="18" t="s">
        <v>257</v>
      </c>
      <c r="G72" s="35" t="s">
        <v>62</v>
      </c>
      <c r="H72" s="37">
        <v>43329</v>
      </c>
      <c r="I72" s="38">
        <f t="shared" ref="I72:I103" si="52">IF(ISBLANK(H72)," - ",IF(J72=0,H72,H72+J72-1))</f>
        <v>43343</v>
      </c>
      <c r="J72" s="39">
        <v>15</v>
      </c>
      <c r="K72" s="45">
        <v>0</v>
      </c>
      <c r="L72" s="39">
        <f t="shared" ref="L72:L103" si="53">IF(OR(I72=0,H72=0)," - ",NETWORKDAYS(H72,I72))</f>
        <v>11</v>
      </c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42"/>
      <c r="Y72" s="42"/>
      <c r="Z72" s="42"/>
      <c r="AA72" s="42"/>
      <c r="AB72" s="42"/>
      <c r="AC72" s="42"/>
      <c r="AD72" s="42"/>
      <c r="AE72" s="42"/>
      <c r="AF72" s="42"/>
      <c r="AG72" s="42"/>
      <c r="AH72" s="42"/>
      <c r="AI72" s="42"/>
      <c r="AJ72" s="42"/>
      <c r="AK72" s="42"/>
      <c r="AL72" s="42"/>
      <c r="AM72" s="42"/>
      <c r="AN72" s="42"/>
      <c r="AO72" s="42"/>
      <c r="AP72" s="42"/>
      <c r="AQ72" s="42"/>
      <c r="AR72" s="42"/>
      <c r="AS72" s="42"/>
      <c r="AT72" s="42"/>
      <c r="AU72" s="42"/>
      <c r="AV72" s="42"/>
      <c r="AW72" s="42"/>
      <c r="AX72" s="42"/>
      <c r="AY72" s="42"/>
      <c r="AZ72" s="42"/>
      <c r="BA72" s="42"/>
      <c r="BB72" s="42"/>
      <c r="BC72" s="42"/>
      <c r="BD72" s="42"/>
      <c r="BE72" s="42"/>
      <c r="BF72" s="42"/>
      <c r="BG72" s="42"/>
      <c r="BH72" s="42"/>
      <c r="BI72" s="42"/>
      <c r="BJ72" s="42"/>
      <c r="BK72" s="42"/>
      <c r="BL72" s="42"/>
      <c r="BM72" s="42"/>
      <c r="BN72" s="42"/>
      <c r="BO72" s="42"/>
      <c r="BP72" s="42"/>
      <c r="BQ72" s="42"/>
    </row>
    <row r="73" spans="1:69" x14ac:dyDescent="0.25">
      <c r="A73" s="34">
        <v>66</v>
      </c>
      <c r="B73" s="35" t="s">
        <v>74</v>
      </c>
      <c r="C73" s="146"/>
      <c r="D73" s="36" t="s">
        <v>107</v>
      </c>
      <c r="E73" s="35" t="s">
        <v>134</v>
      </c>
      <c r="F73" s="18" t="s">
        <v>108</v>
      </c>
      <c r="G73" s="35" t="s">
        <v>6</v>
      </c>
      <c r="H73" s="37">
        <v>43333</v>
      </c>
      <c r="I73" s="38">
        <f t="shared" si="52"/>
        <v>43344</v>
      </c>
      <c r="J73" s="39">
        <v>12</v>
      </c>
      <c r="K73" s="40">
        <v>0</v>
      </c>
      <c r="L73" s="39">
        <f t="shared" si="53"/>
        <v>9</v>
      </c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2"/>
      <c r="Z73" s="42"/>
      <c r="AA73" s="42"/>
      <c r="AB73" s="42"/>
      <c r="AC73" s="42"/>
      <c r="AD73" s="42"/>
      <c r="AE73" s="42"/>
      <c r="AF73" s="42"/>
      <c r="AG73" s="42"/>
      <c r="AH73" s="42"/>
      <c r="AI73" s="42"/>
      <c r="AJ73" s="42"/>
      <c r="AK73" s="42"/>
      <c r="AL73" s="42"/>
      <c r="AM73" s="42"/>
      <c r="AN73" s="42"/>
      <c r="AO73" s="42"/>
      <c r="AP73" s="42"/>
      <c r="AQ73" s="42"/>
      <c r="AR73" s="42"/>
      <c r="AS73" s="42"/>
      <c r="AT73" s="42"/>
      <c r="AU73" s="42"/>
      <c r="AV73" s="42"/>
      <c r="AW73" s="42"/>
      <c r="AX73" s="42"/>
      <c r="AY73" s="42"/>
      <c r="AZ73" s="42"/>
      <c r="BA73" s="42"/>
      <c r="BB73" s="42"/>
      <c r="BC73" s="42"/>
      <c r="BD73" s="42"/>
      <c r="BE73" s="42"/>
      <c r="BF73" s="42"/>
      <c r="BG73" s="42"/>
      <c r="BH73" s="42"/>
      <c r="BI73" s="42"/>
      <c r="BJ73" s="42"/>
      <c r="BK73" s="42"/>
      <c r="BL73" s="42"/>
      <c r="BM73" s="42"/>
      <c r="BN73" s="42"/>
      <c r="BO73" s="42"/>
      <c r="BP73" s="42"/>
      <c r="BQ73" s="42"/>
    </row>
    <row r="74" spans="1:69" x14ac:dyDescent="0.25">
      <c r="A74" s="34">
        <v>67</v>
      </c>
      <c r="B74" s="47" t="s">
        <v>21</v>
      </c>
      <c r="C74" s="146"/>
      <c r="D74" s="36" t="s">
        <v>216</v>
      </c>
      <c r="E74" s="47" t="s">
        <v>180</v>
      </c>
      <c r="F74" s="18" t="s">
        <v>258</v>
      </c>
      <c r="G74" s="35" t="s">
        <v>6</v>
      </c>
      <c r="H74" s="37">
        <v>43341</v>
      </c>
      <c r="I74" s="38">
        <f t="shared" si="52"/>
        <v>43345</v>
      </c>
      <c r="J74" s="39">
        <v>5</v>
      </c>
      <c r="K74" s="45">
        <v>0</v>
      </c>
      <c r="L74" s="39">
        <f t="shared" si="53"/>
        <v>3</v>
      </c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2"/>
      <c r="Z74" s="42"/>
      <c r="AA74" s="42"/>
      <c r="AB74" s="42"/>
      <c r="AC74" s="42"/>
      <c r="AD74" s="42"/>
      <c r="AE74" s="42"/>
      <c r="AF74" s="42"/>
      <c r="AG74" s="42"/>
      <c r="AH74" s="42"/>
      <c r="AI74" s="42"/>
      <c r="AJ74" s="42"/>
      <c r="AK74" s="42"/>
      <c r="AL74" s="42"/>
      <c r="AM74" s="42"/>
      <c r="AN74" s="42"/>
      <c r="AO74" s="42"/>
      <c r="AP74" s="42"/>
      <c r="AQ74" s="42"/>
      <c r="AR74" s="42"/>
      <c r="AS74" s="42"/>
      <c r="AT74" s="42"/>
      <c r="AU74" s="42"/>
      <c r="AV74" s="42"/>
      <c r="AW74" s="42"/>
      <c r="AX74" s="42"/>
      <c r="AY74" s="42"/>
      <c r="AZ74" s="42"/>
      <c r="BA74" s="42"/>
      <c r="BB74" s="42"/>
      <c r="BC74" s="42"/>
      <c r="BD74" s="42"/>
      <c r="BE74" s="42"/>
      <c r="BF74" s="42"/>
      <c r="BG74" s="42"/>
      <c r="BH74" s="42"/>
      <c r="BI74" s="42"/>
      <c r="BJ74" s="42"/>
      <c r="BK74" s="42"/>
      <c r="BL74" s="42"/>
      <c r="BM74" s="42"/>
      <c r="BN74" s="42"/>
      <c r="BO74" s="42"/>
      <c r="BP74" s="42"/>
      <c r="BQ74" s="42"/>
    </row>
    <row r="75" spans="1:69" x14ac:dyDescent="0.25">
      <c r="A75" s="34">
        <v>68</v>
      </c>
      <c r="B75" s="47" t="s">
        <v>21</v>
      </c>
      <c r="C75" s="146"/>
      <c r="D75" s="36" t="s">
        <v>202</v>
      </c>
      <c r="E75" s="47" t="s">
        <v>180</v>
      </c>
      <c r="F75" s="18" t="s">
        <v>243</v>
      </c>
      <c r="G75" s="35" t="s">
        <v>23</v>
      </c>
      <c r="H75" s="37">
        <v>43340</v>
      </c>
      <c r="I75" s="38">
        <f t="shared" si="52"/>
        <v>43349</v>
      </c>
      <c r="J75" s="39">
        <v>10</v>
      </c>
      <c r="K75" s="45">
        <v>0</v>
      </c>
      <c r="L75" s="39">
        <f t="shared" si="53"/>
        <v>8</v>
      </c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2"/>
      <c r="Z75" s="42"/>
      <c r="AA75" s="42"/>
      <c r="AB75" s="42"/>
      <c r="AC75" s="42"/>
      <c r="AD75" s="42"/>
      <c r="AE75" s="42"/>
      <c r="AF75" s="42"/>
      <c r="AG75" s="42"/>
      <c r="AH75" s="42"/>
      <c r="AI75" s="42"/>
      <c r="AJ75" s="42"/>
      <c r="AK75" s="42"/>
      <c r="AL75" s="42"/>
      <c r="AM75" s="42"/>
      <c r="AN75" s="42"/>
      <c r="AO75" s="42"/>
      <c r="AP75" s="42"/>
      <c r="AQ75" s="42"/>
      <c r="AR75" s="42"/>
      <c r="AS75" s="42"/>
      <c r="AT75" s="42"/>
      <c r="AU75" s="42"/>
      <c r="AV75" s="42"/>
      <c r="AW75" s="42"/>
      <c r="AX75" s="42"/>
      <c r="AY75" s="42"/>
      <c r="AZ75" s="42"/>
      <c r="BA75" s="42"/>
      <c r="BB75" s="42"/>
      <c r="BC75" s="42"/>
      <c r="BD75" s="42"/>
      <c r="BE75" s="42"/>
      <c r="BF75" s="42"/>
      <c r="BG75" s="42"/>
      <c r="BH75" s="42"/>
      <c r="BI75" s="42"/>
      <c r="BJ75" s="42"/>
      <c r="BK75" s="42"/>
      <c r="BL75" s="42"/>
      <c r="BM75" s="42"/>
      <c r="BN75" s="42"/>
      <c r="BO75" s="42"/>
      <c r="BP75" s="42"/>
      <c r="BQ75" s="42"/>
    </row>
    <row r="76" spans="1:69" x14ac:dyDescent="0.25">
      <c r="A76" s="34">
        <v>69</v>
      </c>
      <c r="B76" s="47" t="s">
        <v>21</v>
      </c>
      <c r="C76" s="146" t="s">
        <v>58</v>
      </c>
      <c r="D76" s="36" t="s">
        <v>217</v>
      </c>
      <c r="E76" s="47" t="s">
        <v>180</v>
      </c>
      <c r="F76" s="18" t="s">
        <v>259</v>
      </c>
      <c r="G76" s="35" t="s">
        <v>6</v>
      </c>
      <c r="H76" s="37">
        <v>43337</v>
      </c>
      <c r="I76" s="38">
        <f t="shared" si="52"/>
        <v>43350</v>
      </c>
      <c r="J76" s="39">
        <v>14</v>
      </c>
      <c r="K76" s="45">
        <v>0</v>
      </c>
      <c r="L76" s="39">
        <f t="shared" si="53"/>
        <v>10</v>
      </c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42"/>
      <c r="AG76" s="42"/>
      <c r="AH76" s="42"/>
      <c r="AI76" s="42"/>
      <c r="AJ76" s="42"/>
      <c r="AK76" s="42"/>
      <c r="AL76" s="42"/>
      <c r="AM76" s="42"/>
      <c r="AN76" s="42"/>
      <c r="AO76" s="42"/>
      <c r="AP76" s="42"/>
      <c r="AQ76" s="42"/>
      <c r="AR76" s="42"/>
      <c r="AS76" s="42"/>
      <c r="AT76" s="42"/>
      <c r="AU76" s="42"/>
      <c r="AV76" s="42"/>
      <c r="AW76" s="42"/>
      <c r="AX76" s="42"/>
      <c r="AY76" s="42"/>
      <c r="AZ76" s="42"/>
      <c r="BA76" s="42"/>
      <c r="BB76" s="42"/>
      <c r="BC76" s="42"/>
      <c r="BD76" s="42"/>
      <c r="BE76" s="42"/>
      <c r="BF76" s="42"/>
      <c r="BG76" s="42"/>
      <c r="BH76" s="42"/>
      <c r="BI76" s="42"/>
      <c r="BJ76" s="42"/>
      <c r="BK76" s="42"/>
      <c r="BL76" s="42"/>
      <c r="BM76" s="42"/>
      <c r="BN76" s="42"/>
      <c r="BO76" s="42"/>
      <c r="BP76" s="42"/>
      <c r="BQ76" s="42"/>
    </row>
    <row r="77" spans="1:69" x14ac:dyDescent="0.25">
      <c r="A77" s="34">
        <v>70</v>
      </c>
      <c r="B77" s="47" t="s">
        <v>21</v>
      </c>
      <c r="C77" s="146" t="s">
        <v>58</v>
      </c>
      <c r="D77" s="36" t="s">
        <v>218</v>
      </c>
      <c r="E77" s="47" t="s">
        <v>180</v>
      </c>
      <c r="F77" s="18" t="s">
        <v>260</v>
      </c>
      <c r="G77" s="35" t="s">
        <v>6</v>
      </c>
      <c r="H77" s="37">
        <v>43346</v>
      </c>
      <c r="I77" s="38">
        <f t="shared" si="52"/>
        <v>43355</v>
      </c>
      <c r="J77" s="39">
        <v>10</v>
      </c>
      <c r="K77" s="45">
        <v>0</v>
      </c>
      <c r="L77" s="39">
        <f t="shared" si="53"/>
        <v>8</v>
      </c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42"/>
      <c r="AG77" s="42"/>
      <c r="AH77" s="42"/>
      <c r="AI77" s="42"/>
      <c r="AJ77" s="42"/>
      <c r="AK77" s="42"/>
      <c r="AL77" s="42"/>
      <c r="AM77" s="42"/>
      <c r="AN77" s="42"/>
      <c r="AO77" s="42"/>
      <c r="AP77" s="42"/>
      <c r="AQ77" s="42"/>
      <c r="AR77" s="42"/>
      <c r="AS77" s="42"/>
      <c r="AT77" s="42"/>
      <c r="AU77" s="42"/>
      <c r="AV77" s="42"/>
      <c r="AW77" s="42"/>
      <c r="AX77" s="42"/>
      <c r="AY77" s="42"/>
      <c r="AZ77" s="42"/>
      <c r="BA77" s="42"/>
      <c r="BB77" s="42"/>
      <c r="BC77" s="42"/>
      <c r="BD77" s="42"/>
      <c r="BE77" s="42"/>
      <c r="BF77" s="42"/>
      <c r="BG77" s="42"/>
      <c r="BH77" s="42"/>
      <c r="BI77" s="42"/>
      <c r="BJ77" s="42"/>
      <c r="BK77" s="42"/>
      <c r="BL77" s="42"/>
      <c r="BM77" s="42"/>
      <c r="BN77" s="42"/>
      <c r="BO77" s="42"/>
      <c r="BP77" s="42"/>
      <c r="BQ77" s="42"/>
    </row>
    <row r="78" spans="1:69" x14ac:dyDescent="0.25">
      <c r="A78" s="34">
        <v>71</v>
      </c>
      <c r="B78" s="47" t="s">
        <v>21</v>
      </c>
      <c r="C78" s="146" t="s">
        <v>65</v>
      </c>
      <c r="D78" s="36" t="s">
        <v>219</v>
      </c>
      <c r="E78" s="47" t="s">
        <v>180</v>
      </c>
      <c r="F78" s="18" t="s">
        <v>261</v>
      </c>
      <c r="G78" s="35" t="s">
        <v>6</v>
      </c>
      <c r="H78" s="37">
        <v>43344</v>
      </c>
      <c r="I78" s="38">
        <f t="shared" si="52"/>
        <v>43358</v>
      </c>
      <c r="J78" s="39">
        <v>15</v>
      </c>
      <c r="K78" s="45">
        <v>0</v>
      </c>
      <c r="L78" s="39">
        <f t="shared" si="53"/>
        <v>10</v>
      </c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42"/>
      <c r="AG78" s="42"/>
      <c r="AH78" s="42"/>
      <c r="AI78" s="42"/>
      <c r="AJ78" s="42"/>
      <c r="AK78" s="42"/>
      <c r="AL78" s="42"/>
      <c r="AM78" s="42"/>
      <c r="AN78" s="42"/>
      <c r="AO78" s="42"/>
      <c r="AP78" s="42"/>
      <c r="AQ78" s="42"/>
      <c r="AR78" s="42"/>
      <c r="AS78" s="42"/>
      <c r="AT78" s="42"/>
      <c r="AU78" s="42"/>
      <c r="AV78" s="42"/>
      <c r="AW78" s="42"/>
      <c r="AX78" s="42"/>
      <c r="AY78" s="42"/>
      <c r="AZ78" s="42"/>
      <c r="BA78" s="42"/>
      <c r="BB78" s="42"/>
      <c r="BC78" s="42"/>
      <c r="BD78" s="42"/>
      <c r="BE78" s="42"/>
      <c r="BF78" s="42"/>
      <c r="BG78" s="42"/>
      <c r="BH78" s="42"/>
      <c r="BI78" s="42"/>
      <c r="BJ78" s="42"/>
      <c r="BK78" s="42"/>
      <c r="BL78" s="42"/>
      <c r="BM78" s="42"/>
      <c r="BN78" s="42"/>
      <c r="BO78" s="42"/>
      <c r="BP78" s="42"/>
      <c r="BQ78" s="42"/>
    </row>
    <row r="79" spans="1:69" x14ac:dyDescent="0.25">
      <c r="A79" s="34">
        <v>72</v>
      </c>
      <c r="B79" s="47" t="s">
        <v>21</v>
      </c>
      <c r="C79" s="146" t="s">
        <v>65</v>
      </c>
      <c r="D79" s="36" t="s">
        <v>220</v>
      </c>
      <c r="E79" s="47" t="s">
        <v>180</v>
      </c>
      <c r="F79" s="18" t="s">
        <v>262</v>
      </c>
      <c r="G79" s="35" t="s">
        <v>6</v>
      </c>
      <c r="H79" s="37">
        <v>43344</v>
      </c>
      <c r="I79" s="38">
        <f t="shared" si="52"/>
        <v>43358</v>
      </c>
      <c r="J79" s="39">
        <v>15</v>
      </c>
      <c r="K79" s="45">
        <v>0</v>
      </c>
      <c r="L79" s="39">
        <f t="shared" si="53"/>
        <v>10</v>
      </c>
      <c r="N79" s="42"/>
      <c r="O79" s="42"/>
      <c r="P79" s="42"/>
      <c r="Q79" s="42"/>
      <c r="R79" s="42"/>
      <c r="S79" s="42"/>
      <c r="T79" s="42"/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42"/>
      <c r="AG79" s="42"/>
      <c r="AH79" s="42"/>
      <c r="AI79" s="42"/>
      <c r="AJ79" s="42"/>
      <c r="AK79" s="42"/>
      <c r="AL79" s="42"/>
      <c r="AM79" s="42"/>
      <c r="AN79" s="42"/>
      <c r="AO79" s="42"/>
      <c r="AP79" s="42"/>
      <c r="AQ79" s="42"/>
      <c r="AR79" s="42"/>
      <c r="AS79" s="42"/>
      <c r="AT79" s="42"/>
      <c r="AU79" s="42"/>
      <c r="AV79" s="42"/>
      <c r="AW79" s="42"/>
      <c r="AX79" s="42"/>
      <c r="AY79" s="42"/>
      <c r="AZ79" s="42"/>
      <c r="BA79" s="42"/>
      <c r="BB79" s="42"/>
      <c r="BC79" s="42"/>
      <c r="BD79" s="42"/>
      <c r="BE79" s="42"/>
      <c r="BF79" s="42"/>
      <c r="BG79" s="42"/>
      <c r="BH79" s="42"/>
      <c r="BI79" s="42"/>
      <c r="BJ79" s="42"/>
      <c r="BK79" s="42"/>
      <c r="BL79" s="42"/>
      <c r="BM79" s="42"/>
      <c r="BN79" s="42"/>
      <c r="BO79" s="42"/>
      <c r="BP79" s="42"/>
      <c r="BQ79" s="42"/>
    </row>
    <row r="80" spans="1:69" x14ac:dyDescent="0.25">
      <c r="A80" s="34">
        <v>73</v>
      </c>
      <c r="B80" s="47" t="s">
        <v>21</v>
      </c>
      <c r="C80" s="148" t="s">
        <v>58</v>
      </c>
      <c r="D80" s="48" t="s">
        <v>276</v>
      </c>
      <c r="E80" s="47" t="s">
        <v>180</v>
      </c>
      <c r="F80" s="52" t="s">
        <v>232</v>
      </c>
      <c r="G80" s="47" t="s">
        <v>5</v>
      </c>
      <c r="H80" s="49">
        <v>43358</v>
      </c>
      <c r="I80" s="38">
        <f t="shared" si="52"/>
        <v>43364</v>
      </c>
      <c r="J80" s="46">
        <v>7</v>
      </c>
      <c r="K80" s="45">
        <v>0</v>
      </c>
      <c r="L80" s="46">
        <f t="shared" si="53"/>
        <v>5</v>
      </c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2"/>
      <c r="Z80" s="42"/>
      <c r="AA80" s="42"/>
      <c r="AB80" s="42"/>
      <c r="AC80" s="42"/>
      <c r="AD80" s="42"/>
      <c r="AE80" s="42"/>
      <c r="AF80" s="42"/>
      <c r="AG80" s="42"/>
      <c r="AH80" s="42"/>
      <c r="AI80" s="42"/>
      <c r="AJ80" s="42"/>
      <c r="AK80" s="42"/>
      <c r="AL80" s="42"/>
      <c r="AM80" s="42"/>
      <c r="AN80" s="42"/>
      <c r="AO80" s="42"/>
      <c r="AP80" s="42"/>
      <c r="AQ80" s="42"/>
      <c r="AR80" s="42"/>
      <c r="AS80" s="42"/>
      <c r="AT80" s="42"/>
      <c r="AU80" s="42"/>
      <c r="AV80" s="42"/>
      <c r="AW80" s="42"/>
      <c r="AX80" s="42"/>
      <c r="AY80" s="42"/>
      <c r="AZ80" s="42"/>
      <c r="BA80" s="42"/>
      <c r="BB80" s="42"/>
      <c r="BC80" s="42"/>
      <c r="BD80" s="42"/>
      <c r="BE80" s="42"/>
      <c r="BF80" s="42"/>
      <c r="BG80" s="42"/>
      <c r="BH80" s="42"/>
      <c r="BI80" s="42"/>
      <c r="BJ80" s="42"/>
      <c r="BK80" s="42"/>
      <c r="BL80" s="42"/>
      <c r="BM80" s="42"/>
      <c r="BN80" s="42"/>
      <c r="BO80" s="42"/>
      <c r="BP80" s="42"/>
      <c r="BQ80" s="42"/>
    </row>
    <row r="81" spans="1:69" x14ac:dyDescent="0.25">
      <c r="A81" s="34">
        <v>74</v>
      </c>
      <c r="B81" s="47" t="s">
        <v>21</v>
      </c>
      <c r="C81" s="148" t="s">
        <v>65</v>
      </c>
      <c r="D81" s="50" t="s">
        <v>188</v>
      </c>
      <c r="E81" s="47" t="s">
        <v>180</v>
      </c>
      <c r="F81" s="52" t="s">
        <v>233</v>
      </c>
      <c r="G81" s="47" t="s">
        <v>5</v>
      </c>
      <c r="H81" s="49">
        <v>43358</v>
      </c>
      <c r="I81" s="38">
        <f t="shared" si="52"/>
        <v>43364</v>
      </c>
      <c r="J81" s="46">
        <v>7</v>
      </c>
      <c r="K81" s="45">
        <v>0</v>
      </c>
      <c r="L81" s="46">
        <f t="shared" si="53"/>
        <v>5</v>
      </c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2"/>
      <c r="Z81" s="42"/>
      <c r="AA81" s="42"/>
      <c r="AB81" s="42"/>
      <c r="AC81" s="42"/>
      <c r="AD81" s="42"/>
      <c r="AE81" s="42"/>
      <c r="AF81" s="42"/>
      <c r="AG81" s="42"/>
      <c r="AH81" s="42"/>
      <c r="AI81" s="42"/>
      <c r="AJ81" s="42"/>
      <c r="AK81" s="42"/>
      <c r="AL81" s="42"/>
      <c r="AM81" s="42"/>
      <c r="AN81" s="42"/>
      <c r="AO81" s="42"/>
      <c r="AP81" s="42"/>
      <c r="AQ81" s="42"/>
      <c r="AR81" s="42"/>
      <c r="AS81" s="42"/>
      <c r="AT81" s="42"/>
      <c r="AU81" s="42"/>
      <c r="AV81" s="42"/>
      <c r="AW81" s="42"/>
      <c r="AX81" s="42"/>
      <c r="AY81" s="42"/>
      <c r="AZ81" s="42"/>
      <c r="BA81" s="42"/>
      <c r="BB81" s="42"/>
      <c r="BC81" s="42"/>
      <c r="BD81" s="42"/>
      <c r="BE81" s="42"/>
      <c r="BF81" s="42"/>
      <c r="BG81" s="42"/>
      <c r="BH81" s="42"/>
      <c r="BI81" s="42"/>
      <c r="BJ81" s="42"/>
      <c r="BK81" s="42"/>
      <c r="BL81" s="42"/>
      <c r="BM81" s="42"/>
      <c r="BN81" s="42"/>
      <c r="BO81" s="42"/>
      <c r="BP81" s="42"/>
      <c r="BQ81" s="42"/>
    </row>
    <row r="82" spans="1:69" x14ac:dyDescent="0.25">
      <c r="A82" s="34">
        <v>75</v>
      </c>
      <c r="B82" s="47" t="s">
        <v>21</v>
      </c>
      <c r="C82" s="148"/>
      <c r="D82" s="48" t="s">
        <v>189</v>
      </c>
      <c r="E82" s="47" t="s">
        <v>180</v>
      </c>
      <c r="F82" s="52" t="s">
        <v>234</v>
      </c>
      <c r="G82" s="47" t="s">
        <v>5</v>
      </c>
      <c r="H82" s="49">
        <v>43358</v>
      </c>
      <c r="I82" s="38">
        <f t="shared" si="52"/>
        <v>43371</v>
      </c>
      <c r="J82" s="46">
        <v>14</v>
      </c>
      <c r="K82" s="45">
        <v>0</v>
      </c>
      <c r="L82" s="46">
        <f t="shared" si="53"/>
        <v>10</v>
      </c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N82" s="42"/>
      <c r="AO82" s="42"/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  <c r="BH82" s="42"/>
      <c r="BI82" s="42"/>
      <c r="BJ82" s="42"/>
      <c r="BK82" s="42"/>
      <c r="BL82" s="42"/>
      <c r="BM82" s="42"/>
      <c r="BN82" s="42"/>
      <c r="BO82" s="42"/>
      <c r="BP82" s="42"/>
      <c r="BQ82" s="42"/>
    </row>
    <row r="83" spans="1:69" x14ac:dyDescent="0.25">
      <c r="A83" s="34">
        <v>76</v>
      </c>
      <c r="B83" s="47" t="s">
        <v>21</v>
      </c>
      <c r="C83" s="146" t="s">
        <v>58</v>
      </c>
      <c r="D83" s="36" t="s">
        <v>212</v>
      </c>
      <c r="E83" s="47" t="s">
        <v>180</v>
      </c>
      <c r="F83" s="18" t="s">
        <v>254</v>
      </c>
      <c r="G83" s="35" t="s">
        <v>274</v>
      </c>
      <c r="H83" s="49">
        <v>43358</v>
      </c>
      <c r="I83" s="38">
        <f t="shared" si="52"/>
        <v>43371</v>
      </c>
      <c r="J83" s="46">
        <v>14</v>
      </c>
      <c r="K83" s="45">
        <v>0</v>
      </c>
      <c r="L83" s="39">
        <f t="shared" si="53"/>
        <v>10</v>
      </c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N83" s="42"/>
      <c r="AO83" s="42"/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  <c r="BH83" s="42"/>
      <c r="BI83" s="42"/>
      <c r="BJ83" s="42"/>
      <c r="BK83" s="42"/>
      <c r="BL83" s="42"/>
      <c r="BM83" s="42"/>
      <c r="BN83" s="42"/>
      <c r="BO83" s="42"/>
      <c r="BP83" s="42"/>
      <c r="BQ83" s="42"/>
    </row>
    <row r="84" spans="1:69" x14ac:dyDescent="0.25">
      <c r="A84" s="34">
        <v>77</v>
      </c>
      <c r="B84" s="35" t="s">
        <v>21</v>
      </c>
      <c r="C84" s="148" t="s">
        <v>58</v>
      </c>
      <c r="D84" s="36" t="s">
        <v>190</v>
      </c>
      <c r="E84" s="47" t="s">
        <v>180</v>
      </c>
      <c r="F84" s="18" t="s">
        <v>235</v>
      </c>
      <c r="G84" s="35" t="s">
        <v>5</v>
      </c>
      <c r="H84" s="37">
        <v>43374</v>
      </c>
      <c r="I84" s="38">
        <f t="shared" si="52"/>
        <v>43388</v>
      </c>
      <c r="J84" s="39">
        <v>15</v>
      </c>
      <c r="K84" s="45">
        <v>0</v>
      </c>
      <c r="L84" s="46">
        <f t="shared" si="53"/>
        <v>11</v>
      </c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N84" s="42"/>
      <c r="AO84" s="42"/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  <c r="BH84" s="42"/>
      <c r="BI84" s="42"/>
      <c r="BJ84" s="42"/>
      <c r="BK84" s="42"/>
      <c r="BL84" s="42"/>
      <c r="BM84" s="42"/>
      <c r="BN84" s="42"/>
      <c r="BO84" s="42"/>
      <c r="BP84" s="42"/>
      <c r="BQ84" s="42"/>
    </row>
    <row r="85" spans="1:69" x14ac:dyDescent="0.25">
      <c r="A85" s="34">
        <v>78</v>
      </c>
      <c r="B85" s="35" t="s">
        <v>69</v>
      </c>
      <c r="C85" s="146"/>
      <c r="D85" s="36" t="s">
        <v>288</v>
      </c>
      <c r="E85" s="35" t="s">
        <v>278</v>
      </c>
      <c r="F85" s="18" t="s">
        <v>279</v>
      </c>
      <c r="G85" s="35" t="s">
        <v>6</v>
      </c>
      <c r="H85" s="37">
        <v>43384</v>
      </c>
      <c r="I85" s="38">
        <f t="shared" si="52"/>
        <v>43393</v>
      </c>
      <c r="J85" s="39">
        <v>10</v>
      </c>
      <c r="K85" s="40">
        <v>0</v>
      </c>
      <c r="L85" s="39">
        <f t="shared" si="53"/>
        <v>7</v>
      </c>
      <c r="N85" s="42"/>
      <c r="O85" s="42"/>
      <c r="P85" s="42"/>
      <c r="Q85" s="42"/>
      <c r="R85" s="42"/>
      <c r="S85" s="42"/>
      <c r="T85" s="42"/>
      <c r="U85" s="42"/>
      <c r="V85" s="42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  <c r="BI85" s="42"/>
      <c r="BJ85" s="42"/>
      <c r="BK85" s="42"/>
      <c r="BL85" s="42"/>
      <c r="BM85" s="42"/>
      <c r="BN85" s="42"/>
      <c r="BO85" s="42"/>
      <c r="BP85" s="42"/>
      <c r="BQ85" s="42"/>
    </row>
    <row r="86" spans="1:69" x14ac:dyDescent="0.25">
      <c r="A86" s="34">
        <v>79</v>
      </c>
      <c r="B86" s="35" t="s">
        <v>87</v>
      </c>
      <c r="C86" s="146"/>
      <c r="D86" s="36" t="s">
        <v>90</v>
      </c>
      <c r="E86" s="35" t="s">
        <v>84</v>
      </c>
      <c r="F86" s="18" t="s">
        <v>91</v>
      </c>
      <c r="G86" s="35" t="s">
        <v>92</v>
      </c>
      <c r="H86" s="37">
        <v>43398</v>
      </c>
      <c r="I86" s="38">
        <f t="shared" si="52"/>
        <v>43398</v>
      </c>
      <c r="J86" s="39">
        <v>1</v>
      </c>
      <c r="K86" s="40">
        <v>0</v>
      </c>
      <c r="L86" s="39">
        <f t="shared" si="53"/>
        <v>1</v>
      </c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2"/>
      <c r="Z86" s="42"/>
      <c r="AA86" s="42"/>
      <c r="AB86" s="42"/>
      <c r="AC86" s="42"/>
      <c r="AD86" s="42"/>
      <c r="AE86" s="42"/>
      <c r="AF86" s="42"/>
      <c r="AG86" s="42"/>
      <c r="AH86" s="42"/>
      <c r="AI86" s="42"/>
      <c r="AJ86" s="42"/>
      <c r="AK86" s="42"/>
      <c r="AL86" s="42"/>
      <c r="AM86" s="42"/>
      <c r="AN86" s="42"/>
      <c r="AO86" s="42"/>
      <c r="AP86" s="42"/>
      <c r="AQ86" s="42"/>
      <c r="AR86" s="42"/>
      <c r="AS86" s="42"/>
      <c r="AT86" s="42"/>
      <c r="AU86" s="42"/>
      <c r="AV86" s="42"/>
      <c r="AW86" s="42"/>
      <c r="AX86" s="42"/>
      <c r="AY86" s="42"/>
      <c r="AZ86" s="42"/>
      <c r="BA86" s="42"/>
      <c r="BB86" s="42"/>
      <c r="BC86" s="42"/>
      <c r="BD86" s="42"/>
      <c r="BE86" s="42"/>
      <c r="BF86" s="42"/>
      <c r="BG86" s="42"/>
      <c r="BH86" s="42"/>
      <c r="BI86" s="42"/>
      <c r="BJ86" s="42"/>
      <c r="BK86" s="42"/>
      <c r="BL86" s="42"/>
      <c r="BM86" s="42"/>
      <c r="BN86" s="42"/>
      <c r="BO86" s="42"/>
      <c r="BP86" s="42"/>
      <c r="BQ86" s="42"/>
    </row>
    <row r="87" spans="1:69" x14ac:dyDescent="0.25">
      <c r="A87" s="34">
        <v>80</v>
      </c>
      <c r="B87" s="47" t="s">
        <v>21</v>
      </c>
      <c r="C87" s="146" t="s">
        <v>65</v>
      </c>
      <c r="D87" s="36" t="s">
        <v>213</v>
      </c>
      <c r="E87" s="47" t="s">
        <v>180</v>
      </c>
      <c r="F87" s="18" t="s">
        <v>255</v>
      </c>
      <c r="G87" s="35" t="s">
        <v>63</v>
      </c>
      <c r="H87" s="37">
        <v>43369</v>
      </c>
      <c r="I87" s="38">
        <f t="shared" si="52"/>
        <v>43398</v>
      </c>
      <c r="J87" s="39">
        <v>30</v>
      </c>
      <c r="K87" s="45">
        <v>0</v>
      </c>
      <c r="L87" s="39">
        <f t="shared" si="53"/>
        <v>22</v>
      </c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N87" s="42"/>
      <c r="AO87" s="42"/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  <c r="BH87" s="42"/>
      <c r="BI87" s="42"/>
      <c r="BJ87" s="42"/>
      <c r="BK87" s="42"/>
      <c r="BL87" s="42"/>
      <c r="BM87" s="42"/>
      <c r="BN87" s="42"/>
      <c r="BO87" s="42"/>
      <c r="BP87" s="42"/>
      <c r="BQ87" s="42"/>
    </row>
    <row r="88" spans="1:69" x14ac:dyDescent="0.25">
      <c r="A88" s="34">
        <v>81</v>
      </c>
      <c r="B88" s="47" t="s">
        <v>21</v>
      </c>
      <c r="C88" s="146"/>
      <c r="D88" s="36" t="s">
        <v>221</v>
      </c>
      <c r="E88" s="47" t="s">
        <v>180</v>
      </c>
      <c r="F88" s="18" t="s">
        <v>263</v>
      </c>
      <c r="G88" s="35" t="s">
        <v>6</v>
      </c>
      <c r="H88" s="37">
        <v>43392</v>
      </c>
      <c r="I88" s="38">
        <f t="shared" si="52"/>
        <v>43398</v>
      </c>
      <c r="J88" s="39">
        <v>7</v>
      </c>
      <c r="K88" s="45">
        <v>0</v>
      </c>
      <c r="L88" s="39">
        <f t="shared" si="53"/>
        <v>5</v>
      </c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N88" s="42"/>
      <c r="AO88" s="42"/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  <c r="BH88" s="42"/>
      <c r="BI88" s="42"/>
      <c r="BJ88" s="42"/>
      <c r="BK88" s="42"/>
      <c r="BL88" s="42"/>
      <c r="BM88" s="42"/>
      <c r="BN88" s="42"/>
      <c r="BO88" s="42"/>
      <c r="BP88" s="42"/>
      <c r="BQ88" s="42"/>
    </row>
    <row r="89" spans="1:69" x14ac:dyDescent="0.25">
      <c r="A89" s="34">
        <v>82</v>
      </c>
      <c r="B89" s="47" t="s">
        <v>21</v>
      </c>
      <c r="C89" s="146"/>
      <c r="D89" s="36" t="s">
        <v>298</v>
      </c>
      <c r="E89" s="47" t="s">
        <v>180</v>
      </c>
      <c r="F89" s="18" t="s">
        <v>264</v>
      </c>
      <c r="G89" s="35" t="s">
        <v>6</v>
      </c>
      <c r="H89" s="37">
        <v>43392</v>
      </c>
      <c r="I89" s="38">
        <f t="shared" si="52"/>
        <v>43398</v>
      </c>
      <c r="J89" s="39">
        <v>7</v>
      </c>
      <c r="K89" s="45">
        <v>0</v>
      </c>
      <c r="L89" s="39">
        <f t="shared" si="53"/>
        <v>5</v>
      </c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N89" s="42"/>
      <c r="AO89" s="42"/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  <c r="BH89" s="42"/>
      <c r="BI89" s="42"/>
      <c r="BJ89" s="42"/>
      <c r="BK89" s="42"/>
      <c r="BL89" s="42"/>
      <c r="BM89" s="42"/>
      <c r="BN89" s="42"/>
      <c r="BO89" s="42"/>
      <c r="BP89" s="42"/>
      <c r="BQ89" s="42"/>
    </row>
    <row r="90" spans="1:69" x14ac:dyDescent="0.25">
      <c r="A90" s="34">
        <v>83</v>
      </c>
      <c r="B90" s="35" t="s">
        <v>87</v>
      </c>
      <c r="C90" s="146"/>
      <c r="D90" s="36" t="s">
        <v>83</v>
      </c>
      <c r="E90" s="35" t="s">
        <v>84</v>
      </c>
      <c r="F90" s="18" t="s">
        <v>85</v>
      </c>
      <c r="G90" s="35" t="s">
        <v>86</v>
      </c>
      <c r="H90" s="37">
        <v>43402</v>
      </c>
      <c r="I90" s="38">
        <f t="shared" si="52"/>
        <v>43402</v>
      </c>
      <c r="J90" s="39">
        <v>1</v>
      </c>
      <c r="K90" s="40">
        <v>0</v>
      </c>
      <c r="L90" s="39">
        <f t="shared" si="53"/>
        <v>1</v>
      </c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N90" s="42"/>
      <c r="AO90" s="42"/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  <c r="BH90" s="42"/>
      <c r="BI90" s="42"/>
      <c r="BJ90" s="42"/>
      <c r="BK90" s="42"/>
      <c r="BL90" s="42"/>
      <c r="BM90" s="42"/>
      <c r="BN90" s="42"/>
      <c r="BO90" s="42"/>
      <c r="BP90" s="42"/>
      <c r="BQ90" s="42"/>
    </row>
    <row r="91" spans="1:69" x14ac:dyDescent="0.25">
      <c r="A91" s="34">
        <v>84</v>
      </c>
      <c r="B91" s="35" t="s">
        <v>87</v>
      </c>
      <c r="C91" s="146"/>
      <c r="D91" s="36" t="s">
        <v>95</v>
      </c>
      <c r="E91" s="35" t="s">
        <v>84</v>
      </c>
      <c r="F91" s="18" t="s">
        <v>96</v>
      </c>
      <c r="G91" s="35" t="s">
        <v>86</v>
      </c>
      <c r="H91" s="37">
        <v>43403</v>
      </c>
      <c r="I91" s="38">
        <f t="shared" si="52"/>
        <v>43403</v>
      </c>
      <c r="J91" s="39">
        <v>1</v>
      </c>
      <c r="K91" s="40">
        <v>0</v>
      </c>
      <c r="L91" s="39">
        <f t="shared" si="53"/>
        <v>1</v>
      </c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2"/>
      <c r="Z91" s="42"/>
      <c r="AA91" s="42"/>
      <c r="AB91" s="42"/>
      <c r="AC91" s="42"/>
      <c r="AD91" s="42"/>
      <c r="AE91" s="42"/>
      <c r="AF91" s="42"/>
      <c r="AG91" s="42"/>
      <c r="AH91" s="42"/>
      <c r="AI91" s="42"/>
      <c r="AJ91" s="42"/>
      <c r="AK91" s="42"/>
      <c r="AL91" s="42"/>
      <c r="AM91" s="42"/>
      <c r="AN91" s="42"/>
      <c r="AO91" s="42"/>
      <c r="AP91" s="42"/>
      <c r="AQ91" s="42"/>
      <c r="AR91" s="42"/>
      <c r="AS91" s="42"/>
      <c r="AT91" s="42"/>
      <c r="AU91" s="42"/>
      <c r="AV91" s="42"/>
      <c r="AW91" s="42"/>
      <c r="AX91" s="42"/>
      <c r="AY91" s="42"/>
      <c r="AZ91" s="42"/>
      <c r="BA91" s="42"/>
      <c r="BB91" s="42"/>
      <c r="BC91" s="42"/>
      <c r="BD91" s="42"/>
      <c r="BE91" s="42"/>
      <c r="BF91" s="42"/>
      <c r="BG91" s="42"/>
      <c r="BH91" s="42"/>
      <c r="BI91" s="42"/>
      <c r="BJ91" s="42"/>
      <c r="BK91" s="42"/>
      <c r="BL91" s="42"/>
      <c r="BM91" s="42"/>
      <c r="BN91" s="42"/>
      <c r="BO91" s="42"/>
      <c r="BP91" s="42"/>
      <c r="BQ91" s="42"/>
    </row>
    <row r="92" spans="1:69" x14ac:dyDescent="0.25">
      <c r="A92" s="34">
        <v>85</v>
      </c>
      <c r="B92" s="35" t="s">
        <v>74</v>
      </c>
      <c r="C92" s="146"/>
      <c r="D92" s="36" t="s">
        <v>81</v>
      </c>
      <c r="E92" s="35" t="s">
        <v>131</v>
      </c>
      <c r="F92" s="18" t="s">
        <v>71</v>
      </c>
      <c r="G92" s="35" t="s">
        <v>6</v>
      </c>
      <c r="H92" s="37">
        <v>43394</v>
      </c>
      <c r="I92" s="38">
        <f t="shared" si="52"/>
        <v>43403</v>
      </c>
      <c r="J92" s="39">
        <v>10</v>
      </c>
      <c r="K92" s="40">
        <v>0</v>
      </c>
      <c r="L92" s="39">
        <f t="shared" si="53"/>
        <v>7</v>
      </c>
      <c r="N92" s="42"/>
      <c r="O92" s="42"/>
      <c r="P92" s="42"/>
      <c r="Q92" s="42"/>
      <c r="R92" s="42"/>
      <c r="S92" s="42"/>
      <c r="T92" s="42"/>
      <c r="U92" s="42"/>
      <c r="V92" s="42"/>
      <c r="W92" s="42"/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N92" s="42"/>
      <c r="AO92" s="42"/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  <c r="BH92" s="42"/>
      <c r="BI92" s="42"/>
      <c r="BJ92" s="42"/>
      <c r="BK92" s="42"/>
      <c r="BL92" s="42"/>
      <c r="BM92" s="42"/>
      <c r="BN92" s="42"/>
      <c r="BO92" s="42"/>
      <c r="BP92" s="42"/>
      <c r="BQ92" s="42"/>
    </row>
    <row r="93" spans="1:69" x14ac:dyDescent="0.25">
      <c r="A93" s="34">
        <v>86</v>
      </c>
      <c r="B93" s="35" t="s">
        <v>87</v>
      </c>
      <c r="C93" s="146"/>
      <c r="D93" s="36" t="s">
        <v>102</v>
      </c>
      <c r="E93" s="35" t="s">
        <v>84</v>
      </c>
      <c r="F93" s="18" t="s">
        <v>101</v>
      </c>
      <c r="G93" s="35" t="s">
        <v>86</v>
      </c>
      <c r="H93" s="37">
        <v>43404</v>
      </c>
      <c r="I93" s="38">
        <f t="shared" si="52"/>
        <v>43404</v>
      </c>
      <c r="J93" s="39">
        <v>1</v>
      </c>
      <c r="K93" s="40">
        <v>0</v>
      </c>
      <c r="L93" s="39">
        <f t="shared" si="53"/>
        <v>1</v>
      </c>
      <c r="N93" s="42"/>
      <c r="O93" s="42"/>
      <c r="P93" s="42"/>
      <c r="Q93" s="42"/>
      <c r="R93" s="42"/>
      <c r="S93" s="42"/>
      <c r="T93" s="42"/>
      <c r="U93" s="42"/>
      <c r="V93" s="42"/>
      <c r="W93" s="42"/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N93" s="42"/>
      <c r="AO93" s="42"/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  <c r="BH93" s="42"/>
      <c r="BI93" s="42"/>
      <c r="BJ93" s="42"/>
      <c r="BK93" s="42"/>
      <c r="BL93" s="42"/>
      <c r="BM93" s="42"/>
      <c r="BN93" s="42"/>
      <c r="BO93" s="42"/>
      <c r="BP93" s="42"/>
      <c r="BQ93" s="42"/>
    </row>
    <row r="94" spans="1:69" x14ac:dyDescent="0.25">
      <c r="A94" s="34">
        <v>87</v>
      </c>
      <c r="B94" s="35" t="s">
        <v>87</v>
      </c>
      <c r="C94" s="146"/>
      <c r="D94" s="36" t="s">
        <v>103</v>
      </c>
      <c r="E94" s="35" t="s">
        <v>84</v>
      </c>
      <c r="F94" s="18" t="s">
        <v>104</v>
      </c>
      <c r="G94" s="35" t="s">
        <v>86</v>
      </c>
      <c r="H94" s="37">
        <v>43404</v>
      </c>
      <c r="I94" s="38">
        <f t="shared" si="52"/>
        <v>43404</v>
      </c>
      <c r="J94" s="39">
        <v>1</v>
      </c>
      <c r="K94" s="40">
        <v>0</v>
      </c>
      <c r="L94" s="39">
        <f t="shared" si="53"/>
        <v>1</v>
      </c>
      <c r="N94" s="42"/>
      <c r="O94" s="42"/>
      <c r="P94" s="42"/>
      <c r="Q94" s="42"/>
      <c r="R94" s="42"/>
      <c r="S94" s="42"/>
      <c r="T94" s="42"/>
      <c r="U94" s="42"/>
      <c r="V94" s="42"/>
      <c r="W94" s="42"/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N94" s="42"/>
      <c r="AO94" s="42"/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  <c r="BH94" s="42"/>
      <c r="BI94" s="42"/>
      <c r="BJ94" s="42"/>
      <c r="BK94" s="42"/>
      <c r="BL94" s="42"/>
      <c r="BM94" s="42"/>
      <c r="BN94" s="42"/>
      <c r="BO94" s="42"/>
      <c r="BP94" s="42"/>
      <c r="BQ94" s="42"/>
    </row>
    <row r="95" spans="1:69" x14ac:dyDescent="0.25">
      <c r="A95" s="34">
        <v>88</v>
      </c>
      <c r="B95" s="47" t="s">
        <v>21</v>
      </c>
      <c r="C95" s="146"/>
      <c r="D95" s="36" t="s">
        <v>277</v>
      </c>
      <c r="E95" s="47" t="s">
        <v>180</v>
      </c>
      <c r="F95" s="18" t="s">
        <v>265</v>
      </c>
      <c r="G95" s="35" t="s">
        <v>6</v>
      </c>
      <c r="H95" s="37">
        <v>43404</v>
      </c>
      <c r="I95" s="38">
        <f t="shared" si="52"/>
        <v>43404</v>
      </c>
      <c r="J95" s="39">
        <v>1</v>
      </c>
      <c r="K95" s="45">
        <v>0</v>
      </c>
      <c r="L95" s="39">
        <f t="shared" si="53"/>
        <v>1</v>
      </c>
      <c r="N95" s="42"/>
      <c r="O95" s="42"/>
      <c r="P95" s="42"/>
      <c r="Q95" s="42"/>
      <c r="R95" s="42"/>
      <c r="S95" s="42"/>
      <c r="T95" s="42"/>
      <c r="U95" s="42"/>
      <c r="V95" s="42"/>
      <c r="W95" s="42"/>
      <c r="X95" s="42"/>
      <c r="Y95" s="42"/>
      <c r="Z95" s="42"/>
      <c r="AA95" s="42"/>
      <c r="AB95" s="42"/>
      <c r="AC95" s="42"/>
      <c r="AD95" s="42"/>
      <c r="AE95" s="42"/>
      <c r="AF95" s="42"/>
      <c r="AG95" s="42"/>
      <c r="AH95" s="42"/>
      <c r="AI95" s="42"/>
      <c r="AJ95" s="42"/>
      <c r="AK95" s="42"/>
      <c r="AL95" s="42"/>
      <c r="AM95" s="42"/>
      <c r="AN95" s="42"/>
      <c r="AO95" s="42"/>
      <c r="AP95" s="42"/>
      <c r="AQ95" s="42"/>
      <c r="AR95" s="42"/>
      <c r="AS95" s="42"/>
      <c r="AT95" s="42"/>
      <c r="AU95" s="42"/>
      <c r="AV95" s="42"/>
      <c r="AW95" s="42"/>
      <c r="AX95" s="42"/>
      <c r="AY95" s="42"/>
      <c r="AZ95" s="42"/>
      <c r="BA95" s="42"/>
      <c r="BB95" s="42"/>
      <c r="BC95" s="42"/>
      <c r="BD95" s="42"/>
      <c r="BE95" s="42"/>
      <c r="BF95" s="42"/>
      <c r="BG95" s="42"/>
      <c r="BH95" s="42"/>
      <c r="BI95" s="42"/>
      <c r="BJ95" s="42"/>
      <c r="BK95" s="42"/>
      <c r="BL95" s="42"/>
      <c r="BM95" s="42"/>
      <c r="BN95" s="42"/>
      <c r="BO95" s="42"/>
      <c r="BP95" s="42"/>
      <c r="BQ95" s="42"/>
    </row>
    <row r="96" spans="1:69" x14ac:dyDescent="0.25">
      <c r="A96" s="34">
        <v>89</v>
      </c>
      <c r="B96" s="35" t="s">
        <v>21</v>
      </c>
      <c r="C96" s="146" t="s">
        <v>66</v>
      </c>
      <c r="D96" s="36" t="s">
        <v>76</v>
      </c>
      <c r="E96" s="35" t="s">
        <v>135</v>
      </c>
      <c r="F96" s="18" t="s">
        <v>77</v>
      </c>
      <c r="G96" s="35" t="s">
        <v>78</v>
      </c>
      <c r="H96" s="37">
        <v>43414</v>
      </c>
      <c r="I96" s="38">
        <f t="shared" si="52"/>
        <v>43423</v>
      </c>
      <c r="J96" s="39">
        <v>10</v>
      </c>
      <c r="K96" s="40">
        <v>0</v>
      </c>
      <c r="L96" s="39">
        <f t="shared" si="53"/>
        <v>6</v>
      </c>
      <c r="N96" s="42"/>
      <c r="O96" s="42"/>
      <c r="P96" s="42"/>
      <c r="Q96" s="42"/>
      <c r="R96" s="42"/>
      <c r="S96" s="42"/>
      <c r="T96" s="42"/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42"/>
      <c r="AG96" s="42"/>
      <c r="AH96" s="42"/>
      <c r="AI96" s="42"/>
      <c r="AJ96" s="42"/>
      <c r="AK96" s="42"/>
      <c r="AL96" s="42"/>
      <c r="AM96" s="42"/>
      <c r="AN96" s="42"/>
      <c r="AO96" s="42"/>
      <c r="AP96" s="42"/>
      <c r="AQ96" s="42"/>
      <c r="AR96" s="42"/>
      <c r="AS96" s="42"/>
      <c r="AT96" s="42"/>
      <c r="AU96" s="42"/>
      <c r="AV96" s="42"/>
      <c r="AW96" s="42"/>
      <c r="AX96" s="42"/>
      <c r="AY96" s="42"/>
      <c r="AZ96" s="42"/>
      <c r="BA96" s="42"/>
      <c r="BB96" s="42"/>
      <c r="BC96" s="42"/>
      <c r="BD96" s="42"/>
      <c r="BE96" s="42"/>
      <c r="BF96" s="42"/>
      <c r="BG96" s="42"/>
      <c r="BH96" s="42"/>
      <c r="BI96" s="42"/>
      <c r="BJ96" s="42"/>
      <c r="BK96" s="42"/>
      <c r="BL96" s="42"/>
      <c r="BM96" s="42"/>
      <c r="BN96" s="42"/>
      <c r="BO96" s="42"/>
      <c r="BP96" s="42"/>
      <c r="BQ96" s="42"/>
    </row>
    <row r="97" spans="1:69" x14ac:dyDescent="0.25">
      <c r="A97" s="34">
        <v>90</v>
      </c>
      <c r="B97" s="35" t="s">
        <v>87</v>
      </c>
      <c r="C97" s="146"/>
      <c r="D97" s="36" t="s">
        <v>97</v>
      </c>
      <c r="E97" s="35" t="s">
        <v>84</v>
      </c>
      <c r="F97" s="18" t="s">
        <v>98</v>
      </c>
      <c r="G97" s="35" t="s">
        <v>99</v>
      </c>
      <c r="H97" s="37">
        <v>43437</v>
      </c>
      <c r="I97" s="38">
        <f t="shared" si="52"/>
        <v>43437</v>
      </c>
      <c r="J97" s="39">
        <v>1</v>
      </c>
      <c r="K97" s="40">
        <v>0</v>
      </c>
      <c r="L97" s="39">
        <f t="shared" si="53"/>
        <v>1</v>
      </c>
      <c r="N97" s="42"/>
      <c r="O97" s="42"/>
      <c r="P97" s="42"/>
      <c r="Q97" s="42"/>
      <c r="R97" s="42"/>
      <c r="S97" s="42"/>
      <c r="T97" s="42"/>
      <c r="U97" s="42"/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42"/>
      <c r="AG97" s="42"/>
      <c r="AH97" s="42"/>
      <c r="AI97" s="42"/>
      <c r="AJ97" s="42"/>
      <c r="AK97" s="42"/>
      <c r="AL97" s="42"/>
      <c r="AM97" s="42"/>
      <c r="AN97" s="42"/>
      <c r="AO97" s="42"/>
      <c r="AP97" s="42"/>
      <c r="AQ97" s="42"/>
      <c r="AR97" s="42"/>
      <c r="AS97" s="42"/>
      <c r="AT97" s="42"/>
      <c r="AU97" s="42"/>
      <c r="AV97" s="42"/>
      <c r="AW97" s="42"/>
      <c r="AX97" s="42"/>
      <c r="AY97" s="42"/>
      <c r="AZ97" s="42"/>
      <c r="BA97" s="42"/>
      <c r="BB97" s="42"/>
      <c r="BC97" s="42"/>
      <c r="BD97" s="42"/>
      <c r="BE97" s="42"/>
      <c r="BF97" s="42"/>
      <c r="BG97" s="42"/>
      <c r="BH97" s="42"/>
      <c r="BI97" s="42"/>
      <c r="BJ97" s="42"/>
      <c r="BK97" s="42"/>
      <c r="BL97" s="42"/>
      <c r="BM97" s="42"/>
      <c r="BN97" s="42"/>
      <c r="BO97" s="42"/>
      <c r="BP97" s="42"/>
      <c r="BQ97" s="42"/>
    </row>
    <row r="98" spans="1:69" x14ac:dyDescent="0.25">
      <c r="A98" s="34">
        <v>91</v>
      </c>
      <c r="B98" s="35" t="s">
        <v>87</v>
      </c>
      <c r="C98" s="146"/>
      <c r="D98" s="36" t="s">
        <v>100</v>
      </c>
      <c r="E98" s="35" t="s">
        <v>84</v>
      </c>
      <c r="F98" s="18" t="s">
        <v>101</v>
      </c>
      <c r="G98" s="35" t="s">
        <v>99</v>
      </c>
      <c r="H98" s="37">
        <v>43437</v>
      </c>
      <c r="I98" s="38">
        <f t="shared" si="52"/>
        <v>43437</v>
      </c>
      <c r="J98" s="39">
        <v>1</v>
      </c>
      <c r="K98" s="40">
        <v>0</v>
      </c>
      <c r="L98" s="39">
        <f t="shared" si="53"/>
        <v>1</v>
      </c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N98" s="42"/>
      <c r="AO98" s="42"/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  <c r="BH98" s="42"/>
      <c r="BI98" s="42"/>
      <c r="BJ98" s="42"/>
      <c r="BK98" s="42"/>
      <c r="BL98" s="42"/>
      <c r="BM98" s="42"/>
      <c r="BN98" s="42"/>
      <c r="BO98" s="42"/>
      <c r="BP98" s="42"/>
      <c r="BQ98" s="42"/>
    </row>
    <row r="99" spans="1:69" x14ac:dyDescent="0.25">
      <c r="A99" s="34">
        <v>92</v>
      </c>
      <c r="B99" s="35" t="s">
        <v>87</v>
      </c>
      <c r="C99" s="146"/>
      <c r="D99" s="36" t="s">
        <v>105</v>
      </c>
      <c r="E99" s="35" t="s">
        <v>84</v>
      </c>
      <c r="F99" s="18" t="s">
        <v>106</v>
      </c>
      <c r="G99" s="35" t="s">
        <v>99</v>
      </c>
      <c r="H99" s="37">
        <v>43437</v>
      </c>
      <c r="I99" s="38">
        <f t="shared" si="52"/>
        <v>43437</v>
      </c>
      <c r="J99" s="39">
        <v>1</v>
      </c>
      <c r="K99" s="40">
        <v>0</v>
      </c>
      <c r="L99" s="39">
        <f t="shared" si="53"/>
        <v>1</v>
      </c>
      <c r="N99" s="42"/>
      <c r="O99" s="42"/>
      <c r="P99" s="42"/>
      <c r="Q99" s="42"/>
      <c r="R99" s="42"/>
      <c r="S99" s="42"/>
      <c r="T99" s="42"/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N99" s="42"/>
      <c r="AO99" s="42"/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  <c r="BH99" s="42"/>
      <c r="BI99" s="42"/>
      <c r="BJ99" s="42"/>
      <c r="BK99" s="42"/>
      <c r="BL99" s="42"/>
      <c r="BM99" s="42"/>
      <c r="BN99" s="42"/>
      <c r="BO99" s="42"/>
      <c r="BP99" s="42"/>
      <c r="BQ99" s="42"/>
    </row>
    <row r="100" spans="1:69" x14ac:dyDescent="0.25">
      <c r="A100" s="34">
        <v>93</v>
      </c>
      <c r="B100" s="47" t="s">
        <v>21</v>
      </c>
      <c r="C100" s="146"/>
      <c r="D100" s="36" t="s">
        <v>222</v>
      </c>
      <c r="E100" s="47" t="s">
        <v>180</v>
      </c>
      <c r="F100" s="18" t="s">
        <v>266</v>
      </c>
      <c r="G100" s="35" t="s">
        <v>20</v>
      </c>
      <c r="H100" s="37">
        <v>43445</v>
      </c>
      <c r="I100" s="38">
        <f t="shared" si="52"/>
        <v>43454</v>
      </c>
      <c r="J100" s="39">
        <v>10</v>
      </c>
      <c r="K100" s="45">
        <v>0</v>
      </c>
      <c r="L100" s="39">
        <f t="shared" si="53"/>
        <v>8</v>
      </c>
      <c r="N100" s="42"/>
      <c r="O100" s="42"/>
      <c r="P100" s="42"/>
      <c r="Q100" s="42"/>
      <c r="R100" s="42"/>
      <c r="S100" s="42"/>
      <c r="T100" s="42"/>
      <c r="U100" s="42"/>
      <c r="V100" s="42"/>
      <c r="W100" s="42"/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N100" s="42"/>
      <c r="AO100" s="42"/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  <c r="BH100" s="42"/>
      <c r="BI100" s="42"/>
      <c r="BJ100" s="42"/>
      <c r="BK100" s="42"/>
      <c r="BL100" s="42"/>
      <c r="BM100" s="42"/>
      <c r="BN100" s="42"/>
      <c r="BO100" s="42"/>
      <c r="BP100" s="42"/>
      <c r="BQ100" s="42"/>
    </row>
    <row r="101" spans="1:69" x14ac:dyDescent="0.25">
      <c r="A101" s="34">
        <v>94</v>
      </c>
      <c r="B101" s="35" t="s">
        <v>69</v>
      </c>
      <c r="C101" s="146"/>
      <c r="D101" s="36" t="s">
        <v>288</v>
      </c>
      <c r="E101" s="35" t="s">
        <v>278</v>
      </c>
      <c r="F101" s="18" t="s">
        <v>279</v>
      </c>
      <c r="G101" s="35" t="s">
        <v>6</v>
      </c>
      <c r="H101" s="37">
        <v>43476</v>
      </c>
      <c r="I101" s="38">
        <f t="shared" si="52"/>
        <v>43485</v>
      </c>
      <c r="J101" s="39">
        <v>10</v>
      </c>
      <c r="K101" s="40">
        <v>0</v>
      </c>
      <c r="L101" s="39">
        <f t="shared" si="53"/>
        <v>6</v>
      </c>
      <c r="N101" s="42"/>
      <c r="O101" s="42"/>
      <c r="P101" s="42"/>
      <c r="Q101" s="42"/>
      <c r="R101" s="42"/>
      <c r="S101" s="42"/>
      <c r="T101" s="42"/>
      <c r="U101" s="42"/>
      <c r="V101" s="42"/>
      <c r="W101" s="42"/>
      <c r="X101" s="42"/>
      <c r="Y101" s="42"/>
      <c r="Z101" s="42"/>
      <c r="AA101" s="42"/>
      <c r="AB101" s="42"/>
      <c r="AC101" s="42"/>
      <c r="AD101" s="42"/>
      <c r="AE101" s="42"/>
      <c r="AF101" s="42"/>
      <c r="AG101" s="42"/>
      <c r="AH101" s="42"/>
      <c r="AI101" s="42"/>
      <c r="AJ101" s="42"/>
      <c r="AK101" s="42"/>
      <c r="AL101" s="42"/>
      <c r="AM101" s="42"/>
      <c r="AN101" s="42"/>
      <c r="AO101" s="42"/>
      <c r="AP101" s="42"/>
      <c r="AQ101" s="42"/>
      <c r="AR101" s="42"/>
      <c r="AS101" s="42"/>
      <c r="AT101" s="42"/>
      <c r="AU101" s="42"/>
      <c r="AV101" s="42"/>
      <c r="AW101" s="42"/>
      <c r="AX101" s="42"/>
      <c r="AY101" s="42"/>
      <c r="AZ101" s="42"/>
      <c r="BA101" s="42"/>
      <c r="BB101" s="42"/>
      <c r="BC101" s="42"/>
      <c r="BD101" s="42"/>
      <c r="BE101" s="42"/>
      <c r="BF101" s="42"/>
      <c r="BG101" s="42"/>
      <c r="BH101" s="42"/>
      <c r="BI101" s="42"/>
      <c r="BJ101" s="42"/>
      <c r="BK101" s="42"/>
      <c r="BL101" s="42"/>
      <c r="BM101" s="42"/>
      <c r="BN101" s="42"/>
      <c r="BO101" s="42"/>
      <c r="BP101" s="42"/>
      <c r="BQ101" s="42"/>
    </row>
    <row r="102" spans="1:69" x14ac:dyDescent="0.25">
      <c r="A102" s="34">
        <v>95</v>
      </c>
      <c r="B102" s="47" t="s">
        <v>21</v>
      </c>
      <c r="C102" s="146"/>
      <c r="D102" s="36" t="s">
        <v>223</v>
      </c>
      <c r="E102" s="47" t="s">
        <v>180</v>
      </c>
      <c r="F102" s="18" t="s">
        <v>267</v>
      </c>
      <c r="G102" s="35" t="s">
        <v>20</v>
      </c>
      <c r="H102" s="37">
        <v>43477</v>
      </c>
      <c r="I102" s="38">
        <f t="shared" si="52"/>
        <v>43486</v>
      </c>
      <c r="J102" s="39">
        <v>10</v>
      </c>
      <c r="K102" s="45">
        <v>0</v>
      </c>
      <c r="L102" s="39">
        <f t="shared" si="53"/>
        <v>6</v>
      </c>
      <c r="N102" s="42"/>
      <c r="O102" s="42"/>
      <c r="P102" s="42"/>
      <c r="Q102" s="42"/>
      <c r="R102" s="42"/>
      <c r="S102" s="42"/>
      <c r="T102" s="42"/>
      <c r="U102" s="42"/>
      <c r="V102" s="42"/>
      <c r="W102" s="42"/>
      <c r="X102" s="42"/>
      <c r="Y102" s="42"/>
      <c r="Z102" s="42"/>
      <c r="AA102" s="42"/>
      <c r="AB102" s="42"/>
      <c r="AC102" s="42"/>
      <c r="AD102" s="42"/>
      <c r="AE102" s="42"/>
      <c r="AF102" s="42"/>
      <c r="AG102" s="42"/>
      <c r="AH102" s="42"/>
      <c r="AI102" s="42"/>
      <c r="AJ102" s="42"/>
      <c r="AK102" s="42"/>
      <c r="AL102" s="42"/>
      <c r="AM102" s="42"/>
      <c r="AN102" s="42"/>
      <c r="AO102" s="42"/>
      <c r="AP102" s="42"/>
      <c r="AQ102" s="42"/>
      <c r="AR102" s="42"/>
      <c r="AS102" s="42"/>
      <c r="AT102" s="42"/>
      <c r="AU102" s="42"/>
      <c r="AV102" s="42"/>
      <c r="AW102" s="42"/>
      <c r="AX102" s="42"/>
      <c r="AY102" s="42"/>
      <c r="AZ102" s="42"/>
      <c r="BA102" s="42"/>
      <c r="BB102" s="42"/>
      <c r="BC102" s="42"/>
      <c r="BD102" s="42"/>
      <c r="BE102" s="42"/>
      <c r="BF102" s="42"/>
      <c r="BG102" s="42"/>
      <c r="BH102" s="42"/>
      <c r="BI102" s="42"/>
      <c r="BJ102" s="42"/>
      <c r="BK102" s="42"/>
      <c r="BL102" s="42"/>
      <c r="BM102" s="42"/>
      <c r="BN102" s="42"/>
      <c r="BO102" s="42"/>
      <c r="BP102" s="42"/>
      <c r="BQ102" s="42"/>
    </row>
    <row r="103" spans="1:69" x14ac:dyDescent="0.25">
      <c r="A103" s="34">
        <v>96</v>
      </c>
      <c r="B103" s="35" t="s">
        <v>74</v>
      </c>
      <c r="C103" s="146"/>
      <c r="D103" s="36" t="s">
        <v>82</v>
      </c>
      <c r="E103" s="35" t="s">
        <v>131</v>
      </c>
      <c r="F103" s="18" t="s">
        <v>71</v>
      </c>
      <c r="G103" s="35" t="s">
        <v>6</v>
      </c>
      <c r="H103" s="37">
        <v>43486</v>
      </c>
      <c r="I103" s="38">
        <f t="shared" si="52"/>
        <v>43495</v>
      </c>
      <c r="J103" s="39">
        <v>10</v>
      </c>
      <c r="K103" s="40">
        <v>0</v>
      </c>
      <c r="L103" s="39">
        <f t="shared" si="53"/>
        <v>8</v>
      </c>
      <c r="N103" s="42"/>
      <c r="O103" s="42"/>
      <c r="P103" s="42"/>
      <c r="Q103" s="42"/>
      <c r="R103" s="42"/>
      <c r="S103" s="42"/>
      <c r="T103" s="42"/>
      <c r="U103" s="42"/>
      <c r="V103" s="42"/>
      <c r="W103" s="42"/>
      <c r="X103" s="42"/>
      <c r="Y103" s="42"/>
      <c r="Z103" s="42"/>
      <c r="AA103" s="42"/>
      <c r="AB103" s="42"/>
      <c r="AC103" s="42"/>
      <c r="AD103" s="42"/>
      <c r="AE103" s="42"/>
      <c r="AF103" s="42"/>
      <c r="AG103" s="42"/>
      <c r="AH103" s="42"/>
      <c r="AI103" s="42"/>
      <c r="AJ103" s="42"/>
      <c r="AK103" s="42"/>
      <c r="AL103" s="42"/>
      <c r="AM103" s="42"/>
      <c r="AN103" s="42"/>
      <c r="AO103" s="42"/>
      <c r="AP103" s="42"/>
      <c r="AQ103" s="42"/>
      <c r="AR103" s="42"/>
      <c r="AS103" s="42"/>
      <c r="AT103" s="42"/>
      <c r="AU103" s="42"/>
      <c r="AV103" s="42"/>
      <c r="AW103" s="42"/>
      <c r="AX103" s="42"/>
      <c r="AY103" s="42"/>
      <c r="AZ103" s="42"/>
      <c r="BA103" s="42"/>
      <c r="BB103" s="42"/>
      <c r="BC103" s="42"/>
      <c r="BD103" s="42"/>
      <c r="BE103" s="42"/>
      <c r="BF103" s="42"/>
      <c r="BG103" s="42"/>
      <c r="BH103" s="42"/>
      <c r="BI103" s="42"/>
      <c r="BJ103" s="42"/>
      <c r="BK103" s="42"/>
      <c r="BL103" s="42"/>
      <c r="BM103" s="42"/>
      <c r="BN103" s="42"/>
      <c r="BO103" s="42"/>
      <c r="BP103" s="42"/>
      <c r="BQ103" s="42"/>
    </row>
  </sheetData>
  <sheetProtection password="8424" sheet="1" objects="1" scenarios="1" autoFilter="0"/>
  <mergeCells count="17">
    <mergeCell ref="N5:T5"/>
    <mergeCell ref="U5:AA5"/>
    <mergeCell ref="AB5:AH5"/>
    <mergeCell ref="AI5:AO5"/>
    <mergeCell ref="G4:H4"/>
    <mergeCell ref="N4:T4"/>
    <mergeCell ref="U4:AA4"/>
    <mergeCell ref="AB4:AH4"/>
    <mergeCell ref="AI4:AO4"/>
    <mergeCell ref="BK5:BQ5"/>
    <mergeCell ref="AP4:AV4"/>
    <mergeCell ref="AW4:BC4"/>
    <mergeCell ref="BD4:BJ4"/>
    <mergeCell ref="BK4:BQ4"/>
    <mergeCell ref="AP5:AV5"/>
    <mergeCell ref="AW5:BC5"/>
    <mergeCell ref="BD5:BJ5"/>
  </mergeCells>
  <conditionalFormatting sqref="K8:K103">
    <cfRule type="dataBar" priority="495">
      <dataBar>
        <cfvo type="num" val="0"/>
        <cfvo type="num" val="1"/>
        <color theme="0" tint="-0.34998626667073579"/>
      </dataBar>
      <extLst>
        <ext xmlns:x14="http://schemas.microsoft.com/office/spreadsheetml/2009/9/main" uri="{B025F937-C7B1-47D3-B67F-A62EFF666E3E}">
          <x14:id>{FAD8F0FE-4BB2-4351-A516-415A1A74D48F}</x14:id>
        </ext>
      </extLst>
    </cfRule>
  </conditionalFormatting>
  <conditionalFormatting sqref="N6:BQ7">
    <cfRule type="expression" dxfId="260" priority="497">
      <formula>N$6=TODAY()</formula>
    </cfRule>
  </conditionalFormatting>
  <conditionalFormatting sqref="N8:BQ103">
    <cfRule type="expression" dxfId="259" priority="498">
      <formula>AND($H8&lt;=N$6,ROUNDDOWN(($I8-$H8+1)*$K8,0)+$H8-1&gt;=N$6)</formula>
    </cfRule>
    <cfRule type="expression" dxfId="258" priority="499">
      <formula>AND(NOT(ISBLANK($H8)),$H8&lt;=N$6,$I8&gt;=N$6)</formula>
    </cfRule>
  </conditionalFormatting>
  <conditionalFormatting sqref="N6:BQ103">
    <cfRule type="expression" dxfId="257" priority="496">
      <formula>N$6=TODAY()</formula>
    </cfRule>
  </conditionalFormatting>
  <conditionalFormatting sqref="K65:K68">
    <cfRule type="dataBar" priority="210">
      <dataBar>
        <cfvo type="num" val="0"/>
        <cfvo type="num" val="1"/>
        <color theme="0" tint="-0.34998626667073579"/>
      </dataBar>
      <extLst>
        <ext xmlns:x14="http://schemas.microsoft.com/office/spreadsheetml/2009/9/main" uri="{B025F937-C7B1-47D3-B67F-A62EFF666E3E}">
          <x14:id>{15AC5631-3FBF-4E77-9D7A-C7DB860F161B}</x14:id>
        </ext>
      </extLst>
    </cfRule>
  </conditionalFormatting>
  <conditionalFormatting sqref="C8:D103">
    <cfRule type="expression" dxfId="256" priority="4">
      <formula>$C8="!"</formula>
    </cfRule>
    <cfRule type="expression" dxfId="255" priority="3">
      <formula>$C8="!!"</formula>
    </cfRule>
    <cfRule type="expression" dxfId="254" priority="2">
      <formula>$C8="!!!"</formula>
    </cfRule>
  </conditionalFormatting>
  <conditionalFormatting sqref="I8:I103">
    <cfRule type="expression" dxfId="253" priority="1">
      <formula>AND($I8&lt;=DATE(YEAR(today),MONTH(today),DAY(today)+LEFT(datecontrol,FIND(" ",datecontrol)-1)),$K8&lt;1)</formula>
    </cfRule>
  </conditionalFormatting>
  <dataValidations count="2">
    <dataValidation allowBlank="1" sqref="K4 A1:C1"/>
    <dataValidation type="list" allowBlank="1" showInputMessage="1" showErrorMessage="1" sqref="H5">
      <formula1>"90 дней,30 дней,10 дней,7 дней"</formula1>
    </dataValidation>
  </dataValidations>
  <pageMargins left="0.15748031496062992" right="0.15748031496062992" top="0.51181102362204722" bottom="0.51181102362204722" header="0.51181102362204722" footer="0.23622047244094491"/>
  <pageSetup scale="43" fitToWidth="0" fitToHeight="0" orientation="landscape" r:id="rId1"/>
  <headerFooter alignWithMargins="0"/>
  <colBreaks count="1" manualBreakCount="1">
    <brk id="12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Scroll Bar 1">
              <controlPr locked="0" defaultSize="0" autoPict="0">
                <anchor moveWithCells="1">
                  <from>
                    <xdr:col>12</xdr:col>
                    <xdr:colOff>57150</xdr:colOff>
                    <xdr:row>1</xdr:row>
                    <xdr:rowOff>9525</xdr:rowOff>
                  </from>
                  <to>
                    <xdr:col>22</xdr:col>
                    <xdr:colOff>200025</xdr:colOff>
                    <xdr:row>2</xdr:row>
                    <xdr:rowOff>66675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AD8F0FE-4BB2-4351-A516-415A1A74D48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K8:K103</xm:sqref>
        </x14:conditionalFormatting>
        <x14:conditionalFormatting xmlns:xm="http://schemas.microsoft.com/office/excel/2006/main">
          <x14:cfRule type="dataBar" id="{15AC5631-3FBF-4E77-9D7A-C7DB860F161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K65:K68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control!$H$38:$H$41</xm:f>
          </x14:formula1>
          <xm:sqref>C8:C103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N45"/>
  <sheetViews>
    <sheetView showGridLines="0" showRowColHeaders="0" zoomScaleNormal="100" workbookViewId="0">
      <selection sqref="A1:N2"/>
    </sheetView>
  </sheetViews>
  <sheetFormatPr defaultRowHeight="18" x14ac:dyDescent="0.35"/>
  <cols>
    <col min="1" max="1" width="15" style="72" customWidth="1"/>
    <col min="2" max="4" width="9.625" style="72" customWidth="1"/>
    <col min="5" max="5" width="0.625" style="72" customWidth="1"/>
    <col min="6" max="6" width="15" style="72" customWidth="1"/>
    <col min="7" max="9" width="9.625" style="72" customWidth="1"/>
    <col min="10" max="10" width="0.625" style="72" customWidth="1"/>
    <col min="11" max="11" width="15" style="72" customWidth="1"/>
    <col min="12" max="14" width="9.625" style="72" customWidth="1"/>
    <col min="15" max="16384" width="9" style="72"/>
  </cols>
  <sheetData>
    <row r="1" spans="1:14" x14ac:dyDescent="0.35">
      <c r="A1" s="164" t="s">
        <v>176</v>
      </c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</row>
    <row r="2" spans="1:14" x14ac:dyDescent="0.35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</row>
    <row r="3" spans="1:14" ht="3.75" customHeight="1" x14ac:dyDescent="0.35"/>
    <row r="4" spans="1:14" ht="18" customHeight="1" x14ac:dyDescent="0.35">
      <c r="A4" s="163" t="s">
        <v>137</v>
      </c>
      <c r="B4" s="74"/>
      <c r="C4" s="74"/>
      <c r="D4" s="74"/>
      <c r="E4" s="74"/>
      <c r="F4" s="163" t="s">
        <v>139</v>
      </c>
      <c r="G4" s="74"/>
      <c r="H4" s="74"/>
      <c r="I4" s="74"/>
      <c r="J4" s="74"/>
      <c r="K4" s="163" t="s">
        <v>142</v>
      </c>
      <c r="L4" s="74"/>
      <c r="M4" s="74"/>
      <c r="N4" s="74"/>
    </row>
    <row r="5" spans="1:14" ht="18" customHeight="1" x14ac:dyDescent="0.35">
      <c r="A5" s="163"/>
      <c r="B5" s="161" t="str">
        <f ca="1">IF(MONTH(TODAY())&gt;1,"затрачено времени:","требуется времени:")</f>
        <v>затрачено времени:</v>
      </c>
      <c r="C5" s="161"/>
      <c r="D5" s="161"/>
      <c r="E5" s="117"/>
      <c r="F5" s="163"/>
      <c r="G5" s="161" t="str">
        <f ca="1">IF(MONTH(TODAY())&gt;2,"затрачено времени:","требуется времени:")</f>
        <v>затрачено времени:</v>
      </c>
      <c r="H5" s="161"/>
      <c r="I5" s="161"/>
      <c r="J5" s="117"/>
      <c r="K5" s="163"/>
      <c r="L5" s="161" t="str">
        <f ca="1">IF(MONTH(TODAY())&gt;3,"затрачено времени:","требуется времени:")</f>
        <v>затрачено времени:</v>
      </c>
      <c r="M5" s="161"/>
      <c r="N5" s="161"/>
    </row>
    <row r="6" spans="1:14" ht="33.75" customHeight="1" x14ac:dyDescent="0.35">
      <c r="A6" s="75">
        <f t="array" ref="A6">SUM(--(MONTH(DataTable[Окончание])=1)*--(YEAR(DataTable[Окончание])=2018))</f>
        <v>2</v>
      </c>
      <c r="B6" s="76">
        <f t="array" ref="B6">SUM((--MONTH(DataTable[Окончание])=1)*--(YEAR(DataTable[Окончание])=2018)*DataTable[Рабочих дней])</f>
        <v>2</v>
      </c>
      <c r="C6" s="77" t="str">
        <f t="array" ref="C6">IF(OR(SUM((--MONTH(DataTable[Окончание])=1)*--(YEAR(DataTable[Окончание])=2018)*DataTable[Рабочих дней])=1,AND(SUM((--MONTH(DataTable[Окончание])=1)*--(YEAR(DataTable[Окончание])=2018)*DataTable[Рабочих дней])&gt;20,VALUE(RIGHT(SUM((--MONTH(DataTable[Окончание])=1)*--(YEAR(DataTable[Окончание])=2018)*DataTable[Рабочих дней]),1))=1))," рабочий день",IF(OR(AND(SUM((--MONTH(DataTable[Окончание])=1)*--(YEAR(DataTable[Окончание])=2018)*DataTable[Рабочих дней])&gt;=2,SUM((--MONTH(DataTable[Окончание])=1)*--(YEAR(DataTable[Окончание])=2018)*DataTable[Рабочих дней])&lt;=4),AND(SUM((--MONTH(DataTable[Окончание])=1)*--(YEAR(DataTable[Окончание])=2018)*DataTable[Рабочих дней])&gt;20,AND(VALUE(RIGHT(SUM((--MONTH(DataTable[Окончание])=1)*--(YEAR(DataTable[Окончание])=2018)*DataTable[Рабочих дней]),1))&gt;=2,VALUE(RIGHT(SUM((--MONTH(DataTable[Окончание])=1)*--(YEAR(DataTable[Окончание])=2018)*DataTable[Рабочих дней]),1))&lt;=4)))," рабочих дня"," рабочих дней"))</f>
        <v xml:space="preserve"> рабочих дня</v>
      </c>
      <c r="D6" s="78"/>
      <c r="E6" s="116"/>
      <c r="F6" s="75">
        <f t="array" ref="F6">SUM(--(MONTH(DataTable[Окончание])=2)*--(YEAR(DataTable[Окончание])=2018))</f>
        <v>4</v>
      </c>
      <c r="G6" s="76">
        <f t="array" ref="G6">SUM((--MONTH(DataTable[Окончание])=2)*--(YEAR(DataTable[Окончание])=2018)*DataTable[Рабочих дней])</f>
        <v>8</v>
      </c>
      <c r="H6" s="77" t="str">
        <f t="array" ref="H6">IF(OR(SUM((--MONTH(DataTable[Окончание])=2)*--(YEAR(DataTable[Окончание])=2018)*DataTable[Рабочих дней])=1,AND(SUM((--MONTH(DataTable[Окончание])=2)*--(YEAR(DataTable[Окончание])=2018)*DataTable[Рабочих дней])&gt;20,VALUE(RIGHT(SUM((--MONTH(DataTable[Окончание])=2)*--(YEAR(DataTable[Окончание])=2018)*DataTable[Рабочих дней]),1))=1))," рабочий день",IF(OR(AND(SUM((--MONTH(DataTable[Окончание])=2)*--(YEAR(DataTable[Окончание])=2018)*DataTable[Рабочих дней])&gt;=2,SUM((--MONTH(DataTable[Окончание])=2)*--(YEAR(DataTable[Окончание])=2018)*DataTable[Рабочих дней])&lt;=4),AND(SUM((--MONTH(DataTable[Окончание])=2)*--(YEAR(DataTable[Окончание])=2018)*DataTable[Рабочих дней])&gt;20,AND(VALUE(RIGHT(SUM((--MONTH(DataTable[Окончание])=2)*--(YEAR(DataTable[Окончание])=2018)*DataTable[Рабочих дней]),1))&gt;=2,VALUE(RIGHT(SUM((--MONTH(DataTable[Окончание])=2)*--(YEAR(DataTable[Окончание])=2018)*DataTable[Рабочих дней]),1))&lt;=4)))," рабочих дня"," рабочих дней"))</f>
        <v xml:space="preserve"> рабочих дней</v>
      </c>
      <c r="I6" s="78"/>
      <c r="J6" s="79"/>
      <c r="K6" s="75">
        <f t="array" ref="K6">SUM(--(MONTH(DataTable[Окончание])=3)*--(YEAR(DataTable[Окончание])=2018))</f>
        <v>3</v>
      </c>
      <c r="L6" s="76">
        <f t="array" ref="L6">SUM((--MONTH(DataTable[Окончание])=3)*--(YEAR(DataTable[Окончание])=2018)*DataTable[Рабочих дней])</f>
        <v>19</v>
      </c>
      <c r="M6" s="77" t="str">
        <f t="array" ref="M6">IF(OR(SUM((--MONTH(DataTable[Окончание])=3)*--(YEAR(DataTable[Окончание])=2018)*DataTable[Рабочих дней])=1,AND(SUM((--MONTH(DataTable[Окончание])=3)*--(YEAR(DataTable[Окончание])=2018)*DataTable[Рабочих дней])&gt;20,VALUE(RIGHT(SUM((--MONTH(DataTable[Окончание])=3)*--(YEAR(DataTable[Окончание])=2018)*DataTable[Рабочих дней]),1))=1))," рабочий день",IF(OR(AND(SUM((--MONTH(DataTable[Окончание])=3)*--(YEAR(DataTable[Окончание])=2018)*DataTable[Рабочих дней])&gt;=2,SUM((--MONTH(DataTable[Окончание])=3)*--(YEAR(DataTable[Окончание])=2018)*DataTable[Рабочих дней])&lt;=4),AND(SUM((--MONTH(DataTable[Окончание])=3)*--(YEAR(DataTable[Окончание])=2018)*DataTable[Рабочих дней])&gt;20,AND(VALUE(RIGHT(SUM((--MONTH(DataTable[Окончание])=3)*--(YEAR(DataTable[Окончание])=2018)*DataTable[Рабочих дней]),1))&gt;=2,VALUE(RIGHT(SUM((--MONTH(DataTable[Окончание])=3)*--(YEAR(DataTable[Окончание])=2018)*DataTable[Рабочих дней]),1))&lt;=4)))," рабочих дня"," рабочих дней"))</f>
        <v xml:space="preserve"> рабочих дней</v>
      </c>
      <c r="N6" s="78"/>
    </row>
    <row r="7" spans="1:14" ht="18" customHeight="1" x14ac:dyDescent="0.35">
      <c r="A7" s="80" t="str">
        <f>IF($A$6=1,"действие",IF(AND($A$6&gt;=2,$A$6&lt;=4),"действия",IF(AND($A$6&gt;20,VALUE(RIGHT($A$6,1))=1),"действие",IF(AND($A$6&gt;20,VALUE(RIGHT($A$6,1))&gt;=2,VALUE(RIGHT($A$6,1))&lt;=4),"действия","действий"))))</f>
        <v>действия</v>
      </c>
      <c r="B7" s="161" t="s">
        <v>140</v>
      </c>
      <c r="C7" s="161"/>
      <c r="D7" s="161"/>
      <c r="E7" s="116"/>
      <c r="F7" s="80" t="str">
        <f>IF($F$6=1,"действие",IF(AND($F$6&gt;=2,$F$6&lt;=4),"действия",IF(AND($F$6&gt;20,VALUE(RIGHT($F$6,1))=1),"действие",IF(AND($F$6&gt;20,VALUE(RIGHT($F$6,1))&gt;=2,VALUE(RIGHT($F$6,1))&lt;=4),"действия","действий"))))</f>
        <v>действия</v>
      </c>
      <c r="G7" s="161" t="s">
        <v>140</v>
      </c>
      <c r="H7" s="161"/>
      <c r="I7" s="161"/>
      <c r="J7" s="117"/>
      <c r="K7" s="80" t="str">
        <f>IF($K$6=1,"действие",IF(AND($K$6&gt;=2,$K$6&lt;=4),"действия",IF(AND($K$6&gt;20,VALUE(RIGHT($K$6,1))=1),"действие",IF(AND($K$6&gt;20,VALUE(RIGHT($K$6,1))&gt;=2,VALUE(RIGHT($K$6,1))&lt;=4),"действия","действий"))))</f>
        <v>действия</v>
      </c>
      <c r="L7" s="161" t="s">
        <v>140</v>
      </c>
      <c r="M7" s="161"/>
      <c r="N7" s="161"/>
    </row>
    <row r="8" spans="1:14" ht="18.75" customHeight="1" x14ac:dyDescent="0.35">
      <c r="A8" s="81" t="str">
        <f t="array" aca="1" ref="A8" ca="1">SUM((DataTable[Окончание]&gt;=today)*(DataTable[%]&lt;=1)*(MONTH(DataTable[Окончание])=1)*--(YEAR(DataTable[Окончание])=2018))&amp;IF(OR(SUM((DataTable[Окончание]&gt;=today)*(DataTable[%]&lt;=1)*(MONTH(DataTable[Окончание])=1)*--(YEAR(DataTable[Окончание])=2018))=1,AND(SUM((DataTable[Окончание]&gt;=today)*(DataTable[%]&lt;=1)*(MONTH(DataTable[Окончание])=1)*--(YEAR(DataTable[Окончание])=2018))&gt;20,VALUE(RIGHT(SUM((DataTable[Окончание]&gt;=today)*(DataTable[%]&lt;=1)*(MONTH(DataTable[Окончание])=1)*--(YEAR(DataTable[Окончание])=2018)),1))=1))," активное"," активных")</f>
        <v>0 активных</v>
      </c>
      <c r="B8" s="82"/>
      <c r="C8" s="83">
        <f t="array" ref="C8">SUMPRODUCT(DataTable[Рабочих дней],DataTable[%],--(MONTH(DataTable[Окончание])=1),--(YEAR(DataTable[Окончание])=2018))/SUM(DataTable[Рабочих дней]*--(MONTH(DataTable[Окончание])=1)*--(YEAR(DataTable[Окончание])=2018))</f>
        <v>1</v>
      </c>
      <c r="D8" s="82"/>
      <c r="E8" s="116"/>
      <c r="F8" s="81" t="str">
        <f t="array" aca="1" ref="F8" ca="1">SUM((DataTable[Окончание]&gt;=today)*(DataTable[%]&lt;=1)*(MONTH(DataTable[Окончание])=2)*--(YEAR(DataTable[Окончание])=2018))&amp;IF(OR(SUM((DataTable[Окончание]&gt;=today)*(DataTable[%]&lt;=1)*(MONTH(DataTable[Окончание])=2)*--(YEAR(DataTable[Окончание])=2018))=1,AND(SUM((DataTable[Окончание]&gt;=today)*(DataTable[%]&lt;=1)*(MONTH(DataTable[Окончание])=2)*--(YEAR(DataTable[Окончание])=2018))&gt;20,VALUE(RIGHT(SUM((DataTable[Окончание]&gt;=today)*(DataTable[%]&lt;=1)*(MONTH(DataTable[Окончание])=2)*--(YEAR(DataTable[Окончание])=2018)),1))=1))," активное"," активных")</f>
        <v>0 активных</v>
      </c>
      <c r="G8" s="82"/>
      <c r="H8" s="83">
        <f t="array" ref="H8">SUMPRODUCT(DataTable[Рабочих дней],DataTable[%],--(MONTH(DataTable[Окончание])=2),--(YEAR(DataTable[Окончание])=2018))/SUM(DataTable[Рабочих дней]*--(MONTH(DataTable[Окончание])=2)*--(YEAR(DataTable[Окончание])=2018))</f>
        <v>1</v>
      </c>
      <c r="I8" s="82"/>
      <c r="J8" s="84"/>
      <c r="K8" s="81" t="str">
        <f t="array" aca="1" ref="K8" ca="1">SUM((DataTable[Окончание]&gt;=today)*(DataTable[%]&lt;=1)*(MONTH(DataTable[Окончание])=3)*--(YEAR(DataTable[Окончание])=2018))&amp;IF(OR(SUM((DataTable[Окончание]&gt;=today)*(DataTable[%]&lt;=1)*(MONTH(DataTable[Окончание])=3)*--(YEAR(DataTable[Окончание])=2018))=1,AND(SUM((DataTable[Окончание]&gt;=today)*(DataTable[%]&lt;=1)*(MONTH(DataTable[Окончание])=3)*--(YEAR(DataTable[Окончание])=2018))&gt;20,VALUE(RIGHT(SUM((DataTable[Окончание]&gt;=today)*(DataTable[%]&lt;=1)*(MONTH(DataTable[Окончание])=3)*--(YEAR(DataTable[Окончание])=2018)),1))=1))," активное"," активных")</f>
        <v>0 активных</v>
      </c>
      <c r="L8" s="82"/>
      <c r="M8" s="83">
        <f t="array" ref="M8">SUMPRODUCT(DataTable[Рабочих дней],DataTable[%],--(MONTH(DataTable[Окончание])=3),--(YEAR(DataTable[Окончание])=2018))/SUM(DataTable[Рабочих дней]*--(MONTH(DataTable[Окончание])=3)*--(YEAR(DataTable[Окончание])=2018))</f>
        <v>1</v>
      </c>
      <c r="N8" s="82"/>
    </row>
    <row r="9" spans="1:14" ht="18.75" customHeight="1" x14ac:dyDescent="0.35">
      <c r="A9" s="85" t="str">
        <f t="array" aca="1" ref="A9" ca="1">SUM((DataTable[Окончание]&lt;today)*(DataTable[%]&lt;=1)*(MONTH(DataTable[Окончание])=1)*--(YEAR(DataTable[Окончание])=2018))&amp;IF(OR(SUM((DataTable[Окончание]&lt;today)*(DataTable[%]&lt;=1)*(MONTH(DataTable[Окончание])=1)*--(YEAR(DataTable[Окончание])=2018))=1,AND(SUM((DataTable[Окончание]&lt;today)*(DataTable[%]&lt;=1)*(MONTH(DataTable[Окончание])=1)*--(YEAR(DataTable[Окончание])=2018))&gt;20,VALUE(RIGHT(SUM((DataTable[Окончание]&lt;today)*(DataTable[%]&lt;=1)*(MONTH(DataTable[Окончание])=1)*--(YEAR(DataTable[Окончание])=2018)),1))=1))," просроченное"," просроченных")</f>
        <v>2 просроченных</v>
      </c>
      <c r="B9" s="162"/>
      <c r="C9" s="162"/>
      <c r="D9" s="162"/>
      <c r="E9" s="116"/>
      <c r="F9" s="85" t="str">
        <f t="array" aca="1" ref="F9" ca="1">SUM((DataTable[Окончание]&lt;today)*(DataTable[%]&lt;=1)*(MONTH(DataTable[Окончание])=2)*--(YEAR(DataTable[Окончание])=2018))&amp;IF(OR(SUM((DataTable[Окончание]&lt;today)*(DataTable[%]&lt;=1)*(MONTH(DataTable[Окончание])=2)*--(YEAR(DataTable[Окончание])=2018))=1,AND(SUM((DataTable[Окончание]&lt;today)*(DataTable[%]&lt;=1)*(MONTH(DataTable[Окончание])=2)*--(YEAR(DataTable[Окончание])=2018))&gt;20,VALUE(RIGHT(SUM((DataTable[Окончание]&lt;today)*(DataTable[%]&lt;=1)*(MONTH(DataTable[Окончание])=2)*--(YEAR(DataTable[Окончание])=2018)),1))=1))," просроченное"," просроченных")</f>
        <v>4 просроченных</v>
      </c>
      <c r="G9" s="162"/>
      <c r="H9" s="162"/>
      <c r="I9" s="162"/>
      <c r="J9" s="86"/>
      <c r="K9" s="85" t="str">
        <f t="array" aca="1" ref="K9" ca="1">SUM((DataTable[Окончание]&lt;today)*(DataTable[%]&lt;=1)*(MONTH(DataTable[Окончание])=3)*--(YEAR(DataTable[Окончание])=2018))&amp;IF(OR(SUM((DataTable[Окончание]&lt;today)*(DataTable[%]&lt;=1)*(MONTH(DataTable[Окончание])=3)*--(YEAR(DataTable[Окончание])=2018))=1,AND(SUM((DataTable[Окончание]&lt;today)*(DataTable[%]&lt;=1)*(MONTH(DataTable[Окончание])=3)*--(YEAR(DataTable[Окончание])=2018))&gt;20,VALUE(RIGHT(SUM((DataTable[Окончание]&lt;today)*(DataTable[%]&lt;=1)*(MONTH(DataTable[Окончание])=3)*--(YEAR(DataTable[Окончание])=2018)),1))=1))," просроченное"," просроченных")</f>
        <v>3 просроченных</v>
      </c>
      <c r="L9" s="162"/>
      <c r="M9" s="162"/>
      <c r="N9" s="162"/>
    </row>
    <row r="10" spans="1:14" ht="18.75" customHeight="1" x14ac:dyDescent="0.35">
      <c r="A10" s="81" t="str">
        <f t="array" ref="A10">SUM(IF(ISBLANK(DataTable[Окончание]),0,1/--(COUNTIF(DataTable[Окончание],DataTable[Окончание]))*(MONTH(DataTable[Окончание])=1)*--(YEAR(DataTable[Окончание])=2018)))&amp;IF(OR(SUM(IF(ISBLANK(DataTable[Окончание]),0,1/--(COUNTIF(DataTable[Окончание],DataTable[Окончание]))*(MONTH(DataTable[Окончание])=1)*--(YEAR(DataTable[Окончание])=2018)))=1,AND(SUM(IF(ISBLANK(DataTable[Окончание]),0,1/--(COUNTIF(DataTable[Окончание],DataTable[Окончание]))*(MONTH(DataTable[Окончание])=1)*--(YEAR(DataTable[Окончание])=2018)))&gt;20,VALUE(RIGHT(SUM(IF(ISBLANK(DataTable[Окончание]),0,1/--(COUNTIF(DataTable[Окончание],DataTable[Окончание]))*(MONTH(DataTable[Окончание])=1)*--(YEAR(DataTable[Окончание])=2018))),1))=1))," контр. срок",IF(OR(AND(SUM(IF(ISBLANK(DataTable[Окончание]),0,1/--(COUNTIF(DataTable[Окончание],DataTable[Окончание]))*(MONTH(DataTable[Окончание])=1)*--(YEAR(DataTable[Окончание])=2018)))&gt;=2,SUM(IF(ISBLANK(DataTable[Окончание]),0,1/--(COUNTIF(DataTable[Окончание],DataTable[Окончание]))*(MONTH(DataTable[Окончание])=1)*--(YEAR(DataTable[Окончание])=2018)))&lt;=4),AND(SUM(IF(ISBLANK(DataTable[Окончание]),0,1/--(COUNTIF(DataTable[Окончание],DataTable[Окончание]))*(MONTH(DataTable[Окончание])=1)*--(YEAR(DataTable[Окончание])=2018)))&gt;20,VALUE(RIGHT(SUM(IF(ISBLANK(DataTable[Окончание]),0,1/--(COUNTIF(DataTable[Окончание],DataTable[Окончание]))*(MONTH(DataTable[Окончание])=1)*--(YEAR(DataTable[Окончание])=2018))),1))=1))," контр. срока"," контр. сроков"))</f>
        <v>1 контр. срок</v>
      </c>
      <c r="B10" s="161" t="s">
        <v>141</v>
      </c>
      <c r="C10" s="161"/>
      <c r="D10" s="161"/>
      <c r="E10" s="116"/>
      <c r="F10" s="81" t="str">
        <f t="array" ref="F10">SUM(IF(ISBLANK(DataTable[Окончание]),0,1/--(COUNTIF(DataTable[Окончание],DataTable[Окончание]))*(MONTH(DataTable[Окончание])=2)*--(YEAR(DataTable[Окончание])=2018)))&amp;IF(OR(SUM(IF(ISBLANK(DataTable[Окончание]),0,1/--(COUNTIF(DataTable[Окончание],DataTable[Окончание]))*(MONTH(DataTable[Окончание])=2)*--(YEAR(DataTable[Окончание])=2018)))=1,AND(SUM(IF(ISBLANK(DataTable[Окончание]),0,1/--(COUNTIF(DataTable[Окончание],DataTable[Окончание]))*(MONTH(DataTable[Окончание])=2)*--(YEAR(DataTable[Окончание])=2018)))&gt;20,VALUE(RIGHT(SUM(IF(ISBLANK(DataTable[Окончание]),0,1/--(COUNTIF(DataTable[Окончание],DataTable[Окончание]))*(MONTH(DataTable[Окончание])=2)*--(YEAR(DataTable[Окончание])=2018))),1))=1))," контр. срок",IF(OR(AND(SUM(IF(ISBLANK(DataTable[Окончание]),0,1/--(COUNTIF(DataTable[Окончание],DataTable[Окончание]))*(MONTH(DataTable[Окончание])=2)*--(YEAR(DataTable[Окончание])=2018)))&gt;=2,SUM(IF(ISBLANK(DataTable[Окончание]),0,1/--(COUNTIF(DataTable[Окончание],DataTable[Окончание]))*(MONTH(DataTable[Окончание])=2)*--(YEAR(DataTable[Окончание])=2018)))&lt;=4),AND(SUM(IF(ISBLANK(DataTable[Окончание]),0,1/--(COUNTIF(DataTable[Окончание],DataTable[Окончание]))*(MONTH(DataTable[Окончание])=2)*--(YEAR(DataTable[Окончание])=2018)))&gt;20,VALUE(RIGHT(SUM(IF(ISBLANK(DataTable[Окончание]),0,1/--(COUNTIF(DataTable[Окончание],DataTable[Окончание]))*(MONTH(DataTable[Окончание])=2)*--(YEAR(DataTable[Окончание])=2018))),1))=1))," контр. срока"," контр. сроков"))</f>
        <v>2 контр. срока</v>
      </c>
      <c r="G10" s="161" t="s">
        <v>141</v>
      </c>
      <c r="H10" s="161"/>
      <c r="I10" s="161"/>
      <c r="J10" s="86"/>
      <c r="K10" s="81" t="str">
        <f t="array" ref="K10">SUM(IF(ISBLANK(DataTable[Окончание]),0,1/--(COUNTIF(DataTable[Окончание],DataTable[Окончание]))*(MONTH(DataTable[Окончание])=3)*--(YEAR(DataTable[Окончание])=2018)))&amp;IF(OR(SUM(IF(ISBLANK(DataTable[Окончание]),0,1/--(COUNTIF(DataTable[Окончание],DataTable[Окончание]))*(MONTH(DataTable[Окончание])=3)*--(YEAR(DataTable[Окончание])=2018)))=1,AND(SUM(IF(ISBLANK(DataTable[Окончание]),0,1/--(COUNTIF(DataTable[Окончание],DataTable[Окончание]))*(MONTH(DataTable[Окончание])=3)*--(YEAR(DataTable[Окончание])=2018)))&gt;20,VALUE(RIGHT(SUM(IF(ISBLANK(DataTable[Окончание]),0,1/--(COUNTIF(DataTable[Окончание],DataTable[Окончание]))*(MONTH(DataTable[Окончание])=3)*--(YEAR(DataTable[Окончание])=2018))),1))=1))," контр. срок",IF(OR(AND(SUM(IF(ISBLANK(DataTable[Окончание]),0,1/--(COUNTIF(DataTable[Окончание],DataTable[Окончание]))*(MONTH(DataTable[Окончание])=3)*--(YEAR(DataTable[Окончание])=2018)))&gt;=2,SUM(IF(ISBLANK(DataTable[Окончание]),0,1/--(COUNTIF(DataTable[Окончание],DataTable[Окончание]))*(MONTH(DataTable[Окончание])=3)*--(YEAR(DataTable[Окончание])=2018)))&lt;=4),AND(SUM(IF(ISBLANK(DataTable[Окончание]),0,1/--(COUNTIF(DataTable[Окончание],DataTable[Окончание]))*(MONTH(DataTable[Окончание])=3)*--(YEAR(DataTable[Окончание])=2018)))&gt;20,VALUE(RIGHT(SUM(IF(ISBLANK(DataTable[Окончание]),0,1/--(COUNTIF(DataTable[Окончание],DataTable[Окончание]))*(MONTH(DataTable[Окончание])=3)*--(YEAR(DataTable[Окончание])=2018))),1))=1))," контр. срока"," контр. сроков"))</f>
        <v>3 контр. срока</v>
      </c>
      <c r="L10" s="161" t="s">
        <v>141</v>
      </c>
      <c r="M10" s="161"/>
      <c r="N10" s="161"/>
    </row>
    <row r="11" spans="1:14" ht="22.5" customHeight="1" x14ac:dyDescent="0.35">
      <c r="A11" s="87"/>
      <c r="B11" s="87"/>
      <c r="C11" s="76">
        <f t="array" ref="C11">SUM(--(FREQUENCY(IF(MONTH(DataTable[Окончание])=1,MATCH(DataTable[Ответственный],DataTable[Ответственный],)),ROW(DataTable[Ответственный])-1)&gt;0))</f>
        <v>2</v>
      </c>
      <c r="D11" s="87"/>
      <c r="E11" s="87"/>
      <c r="F11" s="87"/>
      <c r="G11" s="87"/>
      <c r="H11" s="76">
        <f t="array" ref="H11">SUM(--(FREQUENCY(IF(MONTH(DataTable[Окончание])=2,MATCH(DataTable[Ответственный],DataTable[Ответственный],)),ROW(DataTable[Ответственный])-1)&gt;0))</f>
        <v>2</v>
      </c>
      <c r="I11" s="87"/>
      <c r="J11" s="87"/>
      <c r="K11" s="87"/>
      <c r="L11" s="87"/>
      <c r="M11" s="76">
        <f t="array" ref="M11">SUM(--(FREQUENCY(IF(MONTH(DataTable[Окончание])=3,MATCH(DataTable[Ответственный],DataTable[Ответственный],)),ROW(DataTable[Ответственный])-1)&gt;0))</f>
        <v>3</v>
      </c>
      <c r="N11" s="87"/>
    </row>
    <row r="12" spans="1:14" x14ac:dyDescent="0.35">
      <c r="A12" s="160"/>
      <c r="B12" s="160"/>
      <c r="C12" s="160"/>
      <c r="D12" s="160"/>
      <c r="E12" s="118"/>
      <c r="F12" s="160"/>
      <c r="G12" s="160"/>
      <c r="H12" s="160"/>
      <c r="I12" s="160"/>
      <c r="J12" s="118"/>
      <c r="K12" s="160"/>
      <c r="L12" s="160"/>
      <c r="M12" s="160"/>
      <c r="N12" s="160"/>
    </row>
    <row r="13" spans="1:14" ht="3.75" customHeight="1" x14ac:dyDescent="0.35">
      <c r="A13" s="118"/>
      <c r="B13" s="118"/>
      <c r="C13" s="118"/>
      <c r="D13" s="118"/>
      <c r="E13" s="118"/>
      <c r="F13" s="118"/>
      <c r="G13" s="118"/>
      <c r="H13" s="118"/>
      <c r="I13" s="118"/>
      <c r="J13" s="118"/>
      <c r="K13" s="118"/>
      <c r="L13" s="118"/>
      <c r="M13" s="118"/>
      <c r="N13" s="118"/>
    </row>
    <row r="14" spans="1:14" ht="18" customHeight="1" x14ac:dyDescent="0.35">
      <c r="A14" s="163" t="s">
        <v>143</v>
      </c>
      <c r="B14" s="74"/>
      <c r="C14" s="74"/>
      <c r="D14" s="74"/>
      <c r="E14" s="74"/>
      <c r="F14" s="163" t="s">
        <v>144</v>
      </c>
      <c r="G14" s="74"/>
      <c r="H14" s="74"/>
      <c r="I14" s="74"/>
      <c r="J14" s="74"/>
      <c r="K14" s="163" t="s">
        <v>167</v>
      </c>
      <c r="L14" s="74"/>
      <c r="M14" s="74"/>
      <c r="N14" s="74"/>
    </row>
    <row r="15" spans="1:14" ht="18" customHeight="1" x14ac:dyDescent="0.35">
      <c r="A15" s="163"/>
      <c r="B15" s="161" t="str">
        <f ca="1">IF(MONTH(TODAY())&gt;4,"затрачено времени:","требуется времени:")</f>
        <v>затрачено времени:</v>
      </c>
      <c r="C15" s="161"/>
      <c r="D15" s="161"/>
      <c r="E15" s="117"/>
      <c r="F15" s="163"/>
      <c r="G15" s="161" t="str">
        <f ca="1">IF(MONTH(TODAY())&gt;5,"затрачено времени:","требуется времени:")</f>
        <v>затрачено времени:</v>
      </c>
      <c r="H15" s="161"/>
      <c r="I15" s="161"/>
      <c r="J15" s="117"/>
      <c r="K15" s="163"/>
      <c r="L15" s="161" t="str">
        <f ca="1">IF(MONTH(TODAY())&gt;6,"затрачено времени:","требуется времени:")</f>
        <v>затрачено времени:</v>
      </c>
      <c r="M15" s="161"/>
      <c r="N15" s="161"/>
    </row>
    <row r="16" spans="1:14" ht="33.75" customHeight="1" x14ac:dyDescent="0.35">
      <c r="A16" s="75">
        <f t="array" ref="A16">SUM(--(MONTH(DataTable[Окончание])=4)*--(YEAR(DataTable[Окончание])=2018))</f>
        <v>6</v>
      </c>
      <c r="B16" s="76">
        <f t="array" ref="B16">SUM((--MONTH(DataTable[Окончание])=4)*--(YEAR(DataTable[Окончание])=2018)*DataTable[Рабочих дней])</f>
        <v>26</v>
      </c>
      <c r="C16" s="77" t="str">
        <f t="array" ref="C16">IF(OR(SUM((--MONTH(DataTable[Окончание])=4)*--(YEAR(DataTable[Окончание])=2018)*DataTable[Рабочих дней])=1,AND(SUM((--MONTH(DataTable[Окончание])=4)*--(YEAR(DataTable[Окончание])=2018)*DataTable[Рабочих дней])&gt;20,VALUE(RIGHT(SUM((--MONTH(DataTable[Окончание])=4)*--(YEAR(DataTable[Окончание])=2018)*DataTable[Рабочих дней]),1))=1))," рабочий день",IF(OR(AND(SUM((--MONTH(DataTable[Окончание])=4)*--(YEAR(DataTable[Окончание])=2018)*DataTable[Рабочих дней])&gt;=2,SUM((--MONTH(DataTable[Окончание])=4)*--(YEAR(DataTable[Окончание])=2018)*DataTable[Рабочих дней])&lt;=4),AND(SUM((--MONTH(DataTable[Окончание])=4)*--(YEAR(DataTable[Окончание])=2018)*DataTable[Рабочих дней])&gt;20,AND(VALUE(RIGHT(SUM((--MONTH(DataTable[Окончание])=4)*--(YEAR(DataTable[Окончание])=2018)*DataTable[Рабочих дней]),1))&gt;=2,VALUE(RIGHT(SUM((--MONTH(DataTable[Окончание])=4)*--(YEAR(DataTable[Окончание])=2018)*DataTable[Рабочих дней]),1))&lt;=4)))," рабочих дня"," рабочих дней"))</f>
        <v xml:space="preserve"> рабочих дней</v>
      </c>
      <c r="D16" s="78"/>
      <c r="E16" s="116"/>
      <c r="F16" s="75">
        <f t="array" ref="F16">SUM(--(MONTH(DataTable[Окончание])=5)*--(YEAR(DataTable[Окончание])=2018))</f>
        <v>5</v>
      </c>
      <c r="G16" s="76">
        <f t="array" ref="G16">SUM((--MONTH(DataTable[Окончание])=5)*--(YEAR(DataTable[Окончание])=2018)*DataTable[Рабочих дней])</f>
        <v>19</v>
      </c>
      <c r="H16" s="77" t="str">
        <f t="array" ref="H16">IF(OR(SUM((--MONTH(DataTable[Окончание])=5)*--(YEAR(DataTable[Окончание])=2018)*DataTable[Рабочих дней])=1,AND(SUM((--MONTH(DataTable[Окончание])=5)*--(YEAR(DataTable[Окончание])=2018)*DataTable[Рабочих дней])&gt;20,VALUE(RIGHT(SUM((--MONTH(DataTable[Окончание])=5)*--(YEAR(DataTable[Окончание])=2018)*DataTable[Рабочих дней]),1))=1))," рабочий день",IF(OR(AND(SUM((--MONTH(DataTable[Окончание])=5)*--(YEAR(DataTable[Окончание])=2018)*DataTable[Рабочих дней])&gt;=2,SUM((--MONTH(DataTable[Окончание])=5)*--(YEAR(DataTable[Окончание])=2018)*DataTable[Рабочих дней])&lt;=4),AND(SUM((--MONTH(DataTable[Окончание])=5)*--(YEAR(DataTable[Окончание])=2018)*DataTable[Рабочих дней])&gt;20,AND(VALUE(RIGHT(SUM((--MONTH(DataTable[Окончание])=5)*--(YEAR(DataTable[Окончание])=2018)*DataTable[Рабочих дней]),1))&gt;=2,VALUE(RIGHT(SUM((--MONTH(DataTable[Окончание])=5)*--(YEAR(DataTable[Окончание])=2018)*DataTable[Рабочих дней]),1))&lt;=4)))," рабочих дня"," рабочих дней"))</f>
        <v xml:space="preserve"> рабочих дней</v>
      </c>
      <c r="I16" s="78"/>
      <c r="J16" s="79"/>
      <c r="K16" s="75">
        <f t="array" ref="K16">SUM(--(MONTH(DataTable[Окончание])=6)*--(YEAR(DataTable[Окончание])=2018))</f>
        <v>4</v>
      </c>
      <c r="L16" s="76">
        <f t="array" ref="L16">SUM((--MONTH(DataTable[Окончание])=6)*--(YEAR(DataTable[Окончание])=2018)*DataTable[Рабочих дней])</f>
        <v>30</v>
      </c>
      <c r="M16" s="77" t="str">
        <f t="array" ref="M16">IF(OR(SUM((--MONTH(DataTable[Окончание])=6)*--(YEAR(DataTable[Окончание])=2018)*DataTable[Рабочих дней])=1,AND(SUM((--MONTH(DataTable[Окончание])=6)*--(YEAR(DataTable[Окончание])=2018)*DataTable[Рабочих дней])&gt;20,VALUE(RIGHT(SUM((--MONTH(DataTable[Окончание])=6)*--(YEAR(DataTable[Окончание])=2018)*DataTable[Рабочих дней]),1))=1))," рабочий день",IF(OR(AND(SUM((--MONTH(DataTable[Окончание])=6)*--(YEAR(DataTable[Окончание])=2018)*DataTable[Рабочих дней])&gt;=2,SUM((--MONTH(DataTable[Окончание])=6)*--(YEAR(DataTable[Окончание])=2018)*DataTable[Рабочих дней])&lt;=4),AND(SUM((--MONTH(DataTable[Окончание])=6)*--(YEAR(DataTable[Окончание])=2018)*DataTable[Рабочих дней])&gt;20,AND(VALUE(RIGHT(SUM((--MONTH(DataTable[Окончание])=6)*--(YEAR(DataTable[Окончание])=2018)*DataTable[Рабочих дней]),1))&gt;=2,VALUE(RIGHT(SUM((--MONTH(DataTable[Окончание])=6)*--(YEAR(DataTable[Окончание])=2018)*DataTable[Рабочих дней]),1))&lt;=4)))," рабочих дня"," рабочих дней"))</f>
        <v xml:space="preserve"> рабочих дней</v>
      </c>
      <c r="N16" s="78"/>
    </row>
    <row r="17" spans="1:14" ht="18" customHeight="1" x14ac:dyDescent="0.35">
      <c r="A17" s="80" t="str">
        <f>IF($A$16=1,"действие",IF(AND($A$16&gt;=2,$A$16&lt;=4),"действия",IF(AND($A$16&gt;20,VALUE(RIGHT($A$16,1))=1),"действие",IF(AND($A$16&gt;20,VALUE(RIGHT($A$16,1))&gt;=2,VALUE(RIGHT($A$16,1))&lt;=4),"действия","действий"))))</f>
        <v>действий</v>
      </c>
      <c r="B17" s="161" t="s">
        <v>140</v>
      </c>
      <c r="C17" s="161"/>
      <c r="D17" s="161"/>
      <c r="E17" s="116"/>
      <c r="F17" s="80" t="str">
        <f>IF($F$16=1,"действие",IF(AND($F$16&gt;=2,$F$16&lt;=4),"действия",IF(AND($F$16&gt;20,VALUE(RIGHT($F$16,1))=1),"действие",IF(AND($F$16&gt;20,VALUE(RIGHT($F$16,1))&gt;=2,VALUE(RIGHT($F$16,1))&lt;=4),"действия","действий"))))</f>
        <v>действий</v>
      </c>
      <c r="G17" s="161" t="s">
        <v>140</v>
      </c>
      <c r="H17" s="161"/>
      <c r="I17" s="161"/>
      <c r="J17" s="117"/>
      <c r="K17" s="80" t="str">
        <f>IF($K$16=1,"действие",IF(AND($K$16&gt;=2,$K$16&lt;=4),"действия",IF(AND($K$16&gt;20,VALUE(RIGHT($K$16,1))=1),"действие",IF(AND($K$16&gt;20,VALUE(RIGHT($K$16,1))&gt;=2,VALUE(RIGHT($K$16,1))&lt;=4),"действия","действий"))))</f>
        <v>действия</v>
      </c>
      <c r="L17" s="161" t="s">
        <v>140</v>
      </c>
      <c r="M17" s="161"/>
      <c r="N17" s="161"/>
    </row>
    <row r="18" spans="1:14" ht="18.75" customHeight="1" x14ac:dyDescent="0.35">
      <c r="A18" s="81" t="str">
        <f t="array" aca="1" ref="A18" ca="1">SUM((DataTable[Окончание]&gt;=today)*(DataTable[%]&lt;=1)*(MONTH(DataTable[Окончание])=4)*--(YEAR(DataTable[Окончание])=2018))&amp;IF(OR(SUM((DataTable[Окончание]&gt;=today)*(DataTable[%]&lt;=1)*(MONTH(DataTable[Окончание])=4)*--(YEAR(DataTable[Окончание])=2018))=1,AND(SUM((DataTable[Окончание]&gt;=today)*(DataTable[%]&lt;=1)*(MONTH(DataTable[Окончание])=4)*--(YEAR(DataTable[Окончание])=2018))&gt;20,VALUE(RIGHT(SUM((DataTable[Окончание]&gt;=today)*(DataTable[%]&lt;=1)*(MONTH(DataTable[Окончание])=4)*--(YEAR(DataTable[Окончание])=2018)),1))=1))," активное"," активных")</f>
        <v>0 активных</v>
      </c>
      <c r="B18" s="82"/>
      <c r="C18" s="83">
        <f t="array" ref="C18">SUMPRODUCT(DataTable[Рабочих дней],DataTable[%],--(MONTH(DataTable[Окончание])=4),--(YEAR(DataTable[Окончание])=2018))/SUM(DataTable[Рабочих дней]*--(MONTH(DataTable[Окончание])=4)*--(YEAR(DataTable[Окончание])=2018))</f>
        <v>1</v>
      </c>
      <c r="D18" s="82"/>
      <c r="E18" s="116"/>
      <c r="F18" s="81" t="str">
        <f t="array" aca="1" ref="F18" ca="1">SUM((DataTable[Окончание]&gt;=today)*(DataTable[%]&lt;=1)*(MONTH(DataTable[Окончание])=5)*--(YEAR(DataTable[Окончание])=2018))&amp;IF(OR(SUM((DataTable[Окончание]&gt;=today)*(DataTable[%]&lt;=1)*(MONTH(DataTable[Окончание])=5)*--(YEAR(DataTable[Окончание])=2018))=1,AND(SUM((DataTable[Окончание]&gt;=today)*(DataTable[%]&lt;=1)*(MONTH(DataTable[Окончание])=5)*--(YEAR(DataTable[Окончание])=2018))&gt;20,VALUE(RIGHT(SUM((DataTable[Окончание]&gt;=today)*(DataTable[%]&lt;=1)*(MONTH(DataTable[Окончание])=5)*--(YEAR(DataTable[Окончание])=2018)),1))=1))," активное"," активных")</f>
        <v>0 активных</v>
      </c>
      <c r="G18" s="82"/>
      <c r="H18" s="83">
        <f t="array" ref="H18">SUMPRODUCT(DataTable[Рабочих дней],DataTable[%],--(MONTH(DataTable[Окончание])=5),--(YEAR(DataTable[Окончание])=2018))/SUM(DataTable[Рабочих дней]*--(MONTH(DataTable[Окончание])=5)*--(YEAR(DataTable[Окончание])=2018))</f>
        <v>1</v>
      </c>
      <c r="I18" s="82"/>
      <c r="J18" s="84"/>
      <c r="K18" s="81" t="str">
        <f t="array" aca="1" ref="K18" ca="1">SUM((DataTable[Окончание]&gt;=today)*(DataTable[%]&lt;=1)*(MONTH(DataTable[Окончание])=6)*--(YEAR(DataTable[Окончание])=2018))&amp;IF(OR(SUM((DataTable[Окончание]&gt;=today)*(DataTable[%]&lt;=1)*(MONTH(DataTable[Окончание])=6)*--(YEAR(DataTable[Окончание])=2018))=1,AND(SUM((DataTable[Окончание]&gt;=today)*(DataTable[%]&lt;=1)*(MONTH(DataTable[Окончание])=6)*--(YEAR(DataTable[Окончание])=2018))&gt;20,VALUE(RIGHT(SUM((DataTable[Окончание]&gt;=today)*(DataTable[%]&lt;=1)*(MONTH(DataTable[Окончание])=6)*--(YEAR(DataTable[Окончание])=2018)),1))=1))," активное"," активных")</f>
        <v>0 активных</v>
      </c>
      <c r="L18" s="82"/>
      <c r="M18" s="83">
        <f t="array" ref="M18">SUMPRODUCT(DataTable[Рабочих дней],DataTable[%],--(MONTH(DataTable[Окончание])=6),--(YEAR(DataTable[Окончание])=2018))/SUM(DataTable[Рабочих дней]*--(MONTH(DataTable[Окончание])=6)*--(YEAR(DataTable[Окончание])=2018))</f>
        <v>1</v>
      </c>
      <c r="N18" s="82"/>
    </row>
    <row r="19" spans="1:14" ht="18.75" customHeight="1" x14ac:dyDescent="0.35">
      <c r="A19" s="85" t="str">
        <f t="array" aca="1" ref="A19" ca="1">SUM((DataTable[Окончание]&lt;today)*(DataTable[%]&lt;=1)*(MONTH(DataTable[Окончание])=4)*--(YEAR(DataTable[Окончание])=2018))&amp;IF(OR(SUM((DataTable[Окончание]&lt;today)*(DataTable[%]&lt;=1)*(MONTH(DataTable[Окончание])=4)*--(YEAR(DataTable[Окончание])=2018))=1,AND(SUM((DataTable[Окончание]&lt;today)*(DataTable[%]&lt;=1)*(MONTH(DataTable[Окончание])=4)*--(YEAR(DataTable[Окончание])=2018))&gt;20,VALUE(RIGHT(SUM((DataTable[Окончание]&lt;today)*(DataTable[%]&lt;=1)*(MONTH(DataTable[Окончание])=4)*--(YEAR(DataTable[Окончание])=2018)),1))=1))," просроченное"," просроченных")</f>
        <v>6 просроченных</v>
      </c>
      <c r="B19" s="162"/>
      <c r="C19" s="162"/>
      <c r="D19" s="162"/>
      <c r="E19" s="116"/>
      <c r="F19" s="85" t="str">
        <f t="array" aca="1" ref="F19" ca="1">SUM((DataTable[Окончание]&lt;today)*(DataTable[%]&lt;=1)*(MONTH(DataTable[Окончание])=5)*--(YEAR(DataTable[Окончание])=2018))&amp;IF(OR(SUM((DataTable[Окончание]&lt;today)*(DataTable[%]&lt;=1)*(MONTH(DataTable[Окончание])=5)*--(YEAR(DataTable[Окончание])=2018))=1,AND(SUM((DataTable[Окончание]&lt;today)*(DataTable[%]&lt;=1)*(MONTH(DataTable[Окончание])=5)*--(YEAR(DataTable[Окончание])=2018))&gt;20,VALUE(RIGHT(SUM((DataTable[Окончание]&lt;today)*(DataTable[%]&lt;=1)*(MONTH(DataTable[Окончание])=5)*--(YEAR(DataTable[Окончание])=2018)),1))=1))," просроченное"," просроченных")</f>
        <v>5 просроченных</v>
      </c>
      <c r="G19" s="162"/>
      <c r="H19" s="162"/>
      <c r="I19" s="162"/>
      <c r="J19" s="86"/>
      <c r="K19" s="81" t="str">
        <f t="array" aca="1" ref="K19" ca="1">SUM((DataTable[Окончание]&lt;today)*(DataTable[%]&lt;=1)*(MONTH(DataTable[Окончание])=6)*--(YEAR(DataTable[Окончание])=2018))&amp;IF(OR(SUM((DataTable[Окончание]&lt;today)*(DataTable[%]&lt;=1)*(MONTH(DataTable[Окончание])=6)*--(YEAR(DataTable[Окончание])=2018))=1,AND(SUM((DataTable[Окончание]&lt;today)*(DataTable[%]&lt;=1)*(MONTH(DataTable[Окончание])=6)*--(YEAR(DataTable[Окончание])=2018))&gt;20,VALUE(RIGHT(SUM((DataTable[Окончание]&lt;today)*(DataTable[%]&lt;=1)*(MONTH(DataTable[Окончание])=6)*--(YEAR(DataTable[Окончание])=2018)),1))=1))," просроченное"," просроченных")</f>
        <v>4 просроченных</v>
      </c>
      <c r="L19" s="162"/>
      <c r="M19" s="162"/>
      <c r="N19" s="162"/>
    </row>
    <row r="20" spans="1:14" ht="18.75" customHeight="1" x14ac:dyDescent="0.35">
      <c r="A20" s="81" t="str">
        <f t="array" ref="A20">SUM(IF(ISBLANK(DataTable[Окончание]),0,1/--(COUNTIF(DataTable[Окончание],DataTable[Окончание]))*(MONTH(DataTable[Окончание])=4)*--(YEAR(DataTable[Окончание])=2018)))&amp;IF(OR(SUM(IF(ISBLANK(DataTable[Окончание]),0,1/--(COUNTIF(DataTable[Окончание],DataTable[Окончание]))*(MONTH(DataTable[Окончание])=4)*--(YEAR(DataTable[Окончание])=2018)))=1,AND(SUM(IF(ISBLANK(DataTable[Окончание]),0,1/--(COUNTIF(DataTable[Окончание],DataTable[Окончание]))*(MONTH(DataTable[Окончание])=4)*--(YEAR(DataTable[Окончание])=2018)))&gt;20,VALUE(RIGHT(SUM(IF(ISBLANK(DataTable[Окончание]),0,1/--(COUNTIF(DataTable[Окончание],DataTable[Окончание]))*(MONTH(DataTable[Окончание])=4)*--(YEAR(DataTable[Окончание])=2018))),1))=1))," контр. срок",IF(OR(AND(SUM(IF(ISBLANK(DataTable[Окончание]),0,1/--(COUNTIF(DataTable[Окончание],DataTable[Окончание]))*(MONTH(DataTable[Окончание])=4)*--(YEAR(DataTable[Окончание])=2018)))&gt;=2,SUM(IF(ISBLANK(DataTable[Окончание]),0,1/--(COUNTIF(DataTable[Окончание],DataTable[Окончание]))*(MONTH(DataTable[Окончание])=4)*--(YEAR(DataTable[Окончание])=2018)))&lt;=4),AND(SUM(IF(ISBLANK(DataTable[Окончание]),0,1/--(COUNTIF(DataTable[Окончание],DataTable[Окончание]))*(MONTH(DataTable[Окончание])=4)*--(YEAR(DataTable[Окончание])=2018)))&gt;20,VALUE(RIGHT(SUM(IF(ISBLANK(DataTable[Окончание]),0,1/--(COUNTIF(DataTable[Окончание],DataTable[Окончание]))*(MONTH(DataTable[Окончание])=4)*--(YEAR(DataTable[Окончание])=2018))),1))=1))," контр. срока"," контр. сроков"))</f>
        <v>6 контр. сроков</v>
      </c>
      <c r="B20" s="161" t="s">
        <v>141</v>
      </c>
      <c r="C20" s="161"/>
      <c r="D20" s="161"/>
      <c r="E20" s="116"/>
      <c r="F20" s="81" t="str">
        <f t="array" ref="F20">SUM(IF(ISBLANK(DataTable[Окончание]),0,1/--(COUNTIF(DataTable[Окончание],DataTable[Окончание]))*(MONTH(DataTable[Окончание])=5)*--(YEAR(DataTable[Окончание])=2018)))&amp;IF(OR(SUM(IF(ISBLANK(DataTable[Окончание]),0,1/--(COUNTIF(DataTable[Окончание],DataTable[Окончание]))*(MONTH(DataTable[Окончание])=5)*--(YEAR(DataTable[Окончание])=2018)))=1,AND(SUM(IF(ISBLANK(DataTable[Окончание]),0,1/--(COUNTIF(DataTable[Окончание],DataTable[Окончание]))*(MONTH(DataTable[Окончание])=5)*--(YEAR(DataTable[Окончание])=2018)))&gt;20,VALUE(RIGHT(SUM(IF(ISBLANK(DataTable[Окончание]),0,1/--(COUNTIF(DataTable[Окончание],DataTable[Окончание]))*(MONTH(DataTable[Окончание])=5)*--(YEAR(DataTable[Окончание])=2018))),1))=1))," контр. срок",IF(OR(AND(SUM(IF(ISBLANK(DataTable[Окончание]),0,1/--(COUNTIF(DataTable[Окончание],DataTable[Окончание]))*(MONTH(DataTable[Окончание])=5)*--(YEAR(DataTable[Окончание])=2018)))&gt;=2,SUM(IF(ISBLANK(DataTable[Окончание]),0,1/--(COUNTIF(DataTable[Окончание],DataTable[Окончание]))*(MONTH(DataTable[Окончание])=5)*--(YEAR(DataTable[Окончание])=2018)))&lt;=4),AND(SUM(IF(ISBLANK(DataTable[Окончание]),0,1/--(COUNTIF(DataTable[Окончание],DataTable[Окончание]))*(MONTH(DataTable[Окончание])=5)*--(YEAR(DataTable[Окончание])=2018)))&gt;20,VALUE(RIGHT(SUM(IF(ISBLANK(DataTable[Окончание]),0,1/--(COUNTIF(DataTable[Окончание],DataTable[Окончание]))*(MONTH(DataTable[Окончание])=5)*--(YEAR(DataTable[Окончание])=2018))),1))=1))," контр. срока"," контр. сроков"))</f>
        <v>3 контр. срока</v>
      </c>
      <c r="G20" s="161" t="s">
        <v>141</v>
      </c>
      <c r="H20" s="161"/>
      <c r="I20" s="161"/>
      <c r="J20" s="86"/>
      <c r="K20" s="81" t="str">
        <f t="array" ref="K20">SUM(IF(ISBLANK(DataTable[Окончание]),0,1/--(COUNTIF(DataTable[Окончание],DataTable[Окончание]))*(MONTH(DataTable[Окончание])=6)*--(YEAR(DataTable[Окончание])=2018)))&amp;IF(OR(SUM(IF(ISBLANK(DataTable[Окончание]),0,1/--(COUNTIF(DataTable[Окончание],DataTable[Окончание]))*(MONTH(DataTable[Окончание])=6)*--(YEAR(DataTable[Окончание])=2018)))=1,AND(SUM(IF(ISBLANK(DataTable[Окончание]),0,1/--(COUNTIF(DataTable[Окончание],DataTable[Окончание]))*(MONTH(DataTable[Окончание])=6)*--(YEAR(DataTable[Окончание])=2018)))&gt;20,VALUE(RIGHT(SUM(IF(ISBLANK(DataTable[Окончание]),0,1/--(COUNTIF(DataTable[Окончание],DataTable[Окончание]))*(MONTH(DataTable[Окончание])=6)*--(YEAR(DataTable[Окончание])=2018))),1))=1))," контр. срок",IF(OR(AND(SUM(IF(ISBLANK(DataTable[Окончание]),0,1/--(COUNTIF(DataTable[Окончание],DataTable[Окончание]))*(MONTH(DataTable[Окончание])=6)*--(YEAR(DataTable[Окончание])=2018)))&gt;=2,SUM(IF(ISBLANK(DataTable[Окончание]),0,1/--(COUNTIF(DataTable[Окончание],DataTable[Окончание]))*(MONTH(DataTable[Окончание])=6)*--(YEAR(DataTable[Окончание])=2018)))&lt;=4),AND(SUM(IF(ISBLANK(DataTable[Окончание]),0,1/--(COUNTIF(DataTable[Окончание],DataTable[Окончание]))*(MONTH(DataTable[Окончание])=6)*--(YEAR(DataTable[Окончание])=2018)))&gt;20,VALUE(RIGHT(SUM(IF(ISBLANK(DataTable[Окончание]),0,1/--(COUNTIF(DataTable[Окончание],DataTable[Окончание]))*(MONTH(DataTable[Окончание])=6)*--(YEAR(DataTable[Окончание])=2018))),1))=1))," контр. срока"," контр. сроков"))</f>
        <v>4 контр. срока</v>
      </c>
      <c r="L20" s="161" t="s">
        <v>141</v>
      </c>
      <c r="M20" s="161"/>
      <c r="N20" s="161"/>
    </row>
    <row r="21" spans="1:14" ht="22.5" customHeight="1" x14ac:dyDescent="0.35">
      <c r="A21" s="87"/>
      <c r="B21" s="87"/>
      <c r="C21" s="76">
        <f t="array" ref="C21">SUM(--(FREQUENCY(IF(MONTH(DataTable[Окончание])=4,MATCH(DataTable[Ответственный],DataTable[Ответственный],)),ROW(DataTable[Ответственный])-1)&gt;0))</f>
        <v>1</v>
      </c>
      <c r="D21" s="87"/>
      <c r="E21" s="87"/>
      <c r="F21" s="87"/>
      <c r="G21" s="87"/>
      <c r="H21" s="76">
        <f t="array" ref="H21">SUM(--(FREQUENCY(IF(MONTH(DataTable[Окончание])=5,MATCH(DataTable[Ответственный],DataTable[Ответственный],)),ROW(DataTable[Ответственный])-1)&gt;0))</f>
        <v>1</v>
      </c>
      <c r="I21" s="87"/>
      <c r="J21" s="87"/>
      <c r="K21" s="87"/>
      <c r="L21" s="87"/>
      <c r="M21" s="76">
        <f t="array" ref="M21">SUM(--(FREQUENCY(IF(MONTH(DataTable[Окончание])=6,MATCH(DataTable[Ответственный],DataTable[Ответственный],)),ROW(DataTable[Ответственный])-1)&gt;0))</f>
        <v>2</v>
      </c>
      <c r="N21" s="87"/>
    </row>
    <row r="22" spans="1:14" x14ac:dyDescent="0.35">
      <c r="A22" s="160"/>
      <c r="B22" s="160"/>
      <c r="C22" s="160"/>
      <c r="D22" s="160"/>
      <c r="E22" s="118"/>
      <c r="F22" s="160"/>
      <c r="G22" s="160"/>
      <c r="H22" s="160"/>
      <c r="I22" s="160"/>
      <c r="J22" s="118"/>
      <c r="K22" s="160"/>
      <c r="L22" s="160"/>
      <c r="M22" s="160"/>
      <c r="N22" s="160"/>
    </row>
    <row r="23" spans="1:14" ht="3.75" customHeight="1" x14ac:dyDescent="0.35">
      <c r="A23" s="118"/>
      <c r="B23" s="1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</row>
    <row r="24" spans="1:14" ht="18" customHeight="1" x14ac:dyDescent="0.35">
      <c r="A24" s="163" t="s">
        <v>169</v>
      </c>
      <c r="B24" s="74"/>
      <c r="C24" s="74"/>
      <c r="D24" s="74"/>
      <c r="E24" s="74"/>
      <c r="F24" s="163" t="s">
        <v>168</v>
      </c>
      <c r="G24" s="74"/>
      <c r="H24" s="74"/>
      <c r="I24" s="74"/>
      <c r="J24" s="74"/>
      <c r="K24" s="163" t="s">
        <v>170</v>
      </c>
      <c r="L24" s="74"/>
      <c r="M24" s="74"/>
      <c r="N24" s="74"/>
    </row>
    <row r="25" spans="1:14" ht="18" customHeight="1" x14ac:dyDescent="0.35">
      <c r="A25" s="163"/>
      <c r="B25" s="161" t="str">
        <f ca="1">IF(MONTH(TODAY())&gt;7,"затрачено времени:","требуется времени:")</f>
        <v>требуется времени:</v>
      </c>
      <c r="C25" s="161"/>
      <c r="D25" s="161"/>
      <c r="E25" s="117"/>
      <c r="F25" s="163"/>
      <c r="G25" s="161" t="str">
        <f ca="1">IF(MONTH(TODAY())&gt;8,"затрачено времени:","требуется времени:")</f>
        <v>требуется времени:</v>
      </c>
      <c r="H25" s="161"/>
      <c r="I25" s="161"/>
      <c r="J25" s="117"/>
      <c r="K25" s="163"/>
      <c r="L25" s="161" t="str">
        <f ca="1">IF(MONTH(TODAY())&gt;9,"затрачено времени:","требуется времени:")</f>
        <v>требуется времени:</v>
      </c>
      <c r="M25" s="161"/>
      <c r="N25" s="161"/>
    </row>
    <row r="26" spans="1:14" ht="33.75" customHeight="1" x14ac:dyDescent="0.35">
      <c r="A26" s="75">
        <f t="array" ref="A26">SUM(--(MONTH(DataTable[Окончание])=7)*--(YEAR(DataTable[Окончание])=2018))</f>
        <v>30</v>
      </c>
      <c r="B26" s="76">
        <f t="array" ref="B26">SUM((--MONTH(DataTable[Окончание])=7)*--(YEAR(DataTable[Окончание])=2018)*DataTable[Рабочих дней])</f>
        <v>202</v>
      </c>
      <c r="C26" s="77" t="str">
        <f t="array" ref="C26">IF(OR(SUM((--MONTH(DataTable[Окончание])=7)*--(YEAR(DataTable[Окончание])=2018)*DataTable[Рабочих дней])=1,AND(SUM((--MONTH(DataTable[Окончание])=7)*--(YEAR(DataTable[Окончание])=2018)*DataTable[Рабочих дней])&gt;20,VALUE(RIGHT(SUM((--MONTH(DataTable[Окончание])=7)*--(YEAR(DataTable[Окончание])=2018)*DataTable[Рабочих дней]),1))=1))," рабочий день",IF(OR(AND(SUM((--MONTH(DataTable[Окончание])=7)*--(YEAR(DataTable[Окончание])=2018)*DataTable[Рабочих дней])&gt;=2,SUM((--MONTH(DataTable[Окончание])=7)*--(YEAR(DataTable[Окончание])=2018)*DataTable[Рабочих дней])&lt;=4),AND(SUM((--MONTH(DataTable[Окончание])=7)*--(YEAR(DataTable[Окончание])=2018)*DataTable[Рабочих дней])&gt;20,AND(VALUE(RIGHT(SUM((--MONTH(DataTable[Окончание])=7)*--(YEAR(DataTable[Окончание])=2018)*DataTable[Рабочих дней]),1))&gt;=2,VALUE(RIGHT(SUM((--MONTH(DataTable[Окончание])=7)*--(YEAR(DataTable[Окончание])=2018)*DataTable[Рабочих дней]),1))&lt;=4)))," рабочих дня"," рабочих дней"))</f>
        <v xml:space="preserve"> рабочих дня</v>
      </c>
      <c r="D26" s="78"/>
      <c r="E26" s="116"/>
      <c r="F26" s="75">
        <f t="array" ref="F26">SUM(--(MONTH(DataTable[Окончание])=8)*--(YEAR(DataTable[Окончание])=2018))</f>
        <v>9</v>
      </c>
      <c r="G26" s="76">
        <f t="array" ref="G26">SUM((--MONTH(DataTable[Окончание])=8)*--(YEAR(DataTable[Окончание])=2018)*DataTable[Рабочих дней])</f>
        <v>57</v>
      </c>
      <c r="H26" s="77" t="str">
        <f t="array" ref="H26">IF(OR(SUM((--MONTH(DataTable[Окончание])=8)*--(YEAR(DataTable[Окончание])=2018)*DataTable[Рабочих дней])=1,AND(SUM((--MONTH(DataTable[Окончание])=8)*--(YEAR(DataTable[Окончание])=2018)*DataTable[Рабочих дней])&gt;20,VALUE(RIGHT(SUM((--MONTH(DataTable[Окончание])=8)*--(YEAR(DataTable[Окончание])=2018)*DataTable[Рабочих дней]),1))=1))," рабочий день",IF(OR(AND(SUM((--MONTH(DataTable[Окончание])=8)*--(YEAR(DataTable[Окончание])=2018)*DataTable[Рабочих дней])&gt;=2,SUM((--MONTH(DataTable[Окончание])=8)*--(YEAR(DataTable[Окончание])=2018)*DataTable[Рабочих дней])&lt;=4),AND(SUM((--MONTH(DataTable[Окончание])=8)*--(YEAR(DataTable[Окончание])=2018)*DataTable[Рабочих дней])&gt;20,AND(VALUE(RIGHT(SUM((--MONTH(DataTable[Окончание])=8)*--(YEAR(DataTable[Окончание])=2018)*DataTable[Рабочих дней]),1))&gt;=2,VALUE(RIGHT(SUM((--MONTH(DataTable[Окончание])=8)*--(YEAR(DataTable[Окончание])=2018)*DataTable[Рабочих дней]),1))&lt;=4)))," рабочих дня"," рабочих дней"))</f>
        <v xml:space="preserve"> рабочих дней</v>
      </c>
      <c r="I26" s="78"/>
      <c r="J26" s="79"/>
      <c r="K26" s="75">
        <f t="array" ref="K26">SUM(--(MONTH(DataTable[Окончание])=9)*--(YEAR(DataTable[Окончание])=2018))</f>
        <v>11</v>
      </c>
      <c r="L26" s="76">
        <f t="array" ref="L26">SUM((--MONTH(DataTable[Окончание])=9)*--(YEAR(DataTable[Окончание])=2018)*DataTable[Рабочих дней])</f>
        <v>88</v>
      </c>
      <c r="M26" s="77" t="str">
        <f t="array" ref="M26">IF(OR(SUM((--MONTH(DataTable[Окончание])=9)*--(YEAR(DataTable[Окончание])=2018)*DataTable[Рабочих дней])=1,AND(SUM((--MONTH(DataTable[Окончание])=9)*--(YEAR(DataTable[Окончание])=2018)*DataTable[Рабочих дней])&gt;20,VALUE(RIGHT(SUM((--MONTH(DataTable[Окончание])=9)*--(YEAR(DataTable[Окончание])=2018)*DataTable[Рабочих дней]),1))=1))," рабочий день",IF(OR(AND(SUM((--MONTH(DataTable[Окончание])=9)*--(YEAR(DataTable[Окончание])=2018)*DataTable[Рабочих дней])&gt;=2,SUM((--MONTH(DataTable[Окончание])=9)*--(YEAR(DataTable[Окончание])=2018)*DataTable[Рабочих дней])&lt;=4),AND(SUM((--MONTH(DataTable[Окончание])=9)*--(YEAR(DataTable[Окончание])=2018)*DataTable[Рабочих дней])&gt;20,AND(VALUE(RIGHT(SUM((--MONTH(DataTable[Окончание])=9)*--(YEAR(DataTable[Окончание])=2018)*DataTable[Рабочих дней]),1))&gt;=2,VALUE(RIGHT(SUM((--MONTH(DataTable[Окончание])=9)*--(YEAR(DataTable[Окончание])=2018)*DataTable[Рабочих дней]),1))&lt;=4)))," рабочих дня"," рабочих дней"))</f>
        <v xml:space="preserve"> рабочих дней</v>
      </c>
      <c r="N26" s="78"/>
    </row>
    <row r="27" spans="1:14" ht="18" customHeight="1" x14ac:dyDescent="0.35">
      <c r="A27" s="80" t="str">
        <f>IF($A$26=1,"действие",IF(AND($A$26&gt;=2,$A$26&lt;=4),"действия",IF(AND($A$26&gt;20,VALUE(RIGHT($A$26,1))=1),"действие",IF(AND($A$26&gt;20,VALUE(RIGHT($A$26,1))&gt;=2,VALUE(RIGHT($A$26,1))&lt;=4),"действия","действий"))))</f>
        <v>действий</v>
      </c>
      <c r="B27" s="161" t="s">
        <v>140</v>
      </c>
      <c r="C27" s="161"/>
      <c r="D27" s="161"/>
      <c r="E27" s="116"/>
      <c r="F27" s="80" t="str">
        <f>IF($F$26=1,"действие",IF(AND($F$26&gt;=2,$F$26&lt;=4),"действия",IF(AND($F$26&gt;20,VALUE(RIGHT($F$26,1))=1),"действие",IF(AND($F$26&gt;20,VALUE(RIGHT($F$26,1))&gt;=2,VALUE(RIGHT($F$26,1))&lt;=4),"действия","действий"))))</f>
        <v>действий</v>
      </c>
      <c r="G27" s="161" t="s">
        <v>140</v>
      </c>
      <c r="H27" s="161"/>
      <c r="I27" s="161"/>
      <c r="J27" s="117"/>
      <c r="K27" s="80" t="str">
        <f>IF($K$26=1,"действие",IF(AND($K$26&gt;=2,$K$26&lt;=4),"действия",IF(AND($K$26&gt;20,VALUE(RIGHT($K$26,1))=1),"действие",IF(AND($K$26&gt;20,VALUE(RIGHT($K$26,1))&gt;=2,VALUE(RIGHT($K$26,1))&lt;=4),"действия","действий"))))</f>
        <v>действий</v>
      </c>
      <c r="L27" s="161" t="s">
        <v>140</v>
      </c>
      <c r="M27" s="161"/>
      <c r="N27" s="161"/>
    </row>
    <row r="28" spans="1:14" ht="18.75" customHeight="1" x14ac:dyDescent="0.35">
      <c r="A28" s="81" t="str">
        <f t="array" aca="1" ref="A28" ca="1">SUM((DataTable[Окончание]&gt;=today)*(DataTable[%]&lt;=1)*(MONTH(DataTable[Окончание])=7)*--(YEAR(DataTable[Окончание])=2018))&amp;IF(OR(SUM((DataTable[Окончание]&gt;=today)*(DataTable[%]&lt;=1)*(MONTH(DataTable[Окончание])=7)*--(YEAR(DataTable[Окончание])=2018))=1,AND(SUM((DataTable[Окончание]&gt;=today)*(DataTable[%]&lt;=1)*(MONTH(DataTable[Окончание])=7)*--(YEAR(DataTable[Окончание])=2018))&gt;20,VALUE(RIGHT(SUM((DataTable[Окончание]&gt;=today)*(DataTable[%]&lt;=1)*(MONTH(DataTable[Окончание])=7)*--(YEAR(DataTable[Окончание])=2018)),1))=1))," активное"," активных")</f>
        <v>29 активных</v>
      </c>
      <c r="B28" s="82"/>
      <c r="C28" s="83">
        <f t="array" ref="C28">SUMPRODUCT(DataTable[Рабочих дней],DataTable[%],--(MONTH(DataTable[Окончание])=7),--(YEAR(DataTable[Окончание])=2018))/SUM(DataTable[Рабочих дней]*--(MONTH(DataTable[Окончание])=7)*--(YEAR(DataTable[Окончание])=2018))</f>
        <v>0.10396039603960396</v>
      </c>
      <c r="D28" s="82"/>
      <c r="E28" s="116"/>
      <c r="F28" s="81" t="str">
        <f t="array" aca="1" ref="F28" ca="1">SUM((DataTable[Окончание]&gt;=today)*(DataTable[%]&lt;=1)*(MONTH(DataTable[Окончание])=8)*--(YEAR(DataTable[Окончание])=2018))&amp;IF(OR(SUM((DataTable[Окончание]&gt;=today)*(DataTable[%]&lt;=1)*(MONTH(DataTable[Окончание])=8)*--(YEAR(DataTable[Окончание])=2018))=1,AND(SUM((DataTable[Окончание]&gt;=today)*(DataTable[%]&lt;=1)*(MONTH(DataTable[Окончание])=8)*--(YEAR(DataTable[Окончание])=2018))&gt;20,VALUE(RIGHT(SUM((DataTable[Окончание]&gt;=today)*(DataTable[%]&lt;=1)*(MONTH(DataTable[Окончание])=8)*--(YEAR(DataTable[Окончание])=2018)),1))=1))," активное"," активных")</f>
        <v>9 активных</v>
      </c>
      <c r="G28" s="82"/>
      <c r="H28" s="83">
        <f t="array" ref="H28">SUMPRODUCT(DataTable[Рабочих дней],DataTable[%],--(MONTH(DataTable[Окончание])=8),--(YEAR(DataTable[Окончание])=2018))/SUM(DataTable[Рабочих дней]*--(MONTH(DataTable[Окончание])=8)*--(YEAR(DataTable[Окончание])=2018))</f>
        <v>0</v>
      </c>
      <c r="I28" s="82"/>
      <c r="J28" s="84"/>
      <c r="K28" s="81" t="str">
        <f t="array" aca="1" ref="K28" ca="1">SUM((DataTable[Окончание]&gt;=today)*(DataTable[%]&lt;=1)*(MONTH(DataTable[Окончание])=9)*--(YEAR(DataTable[Окончание])=2018))&amp;IF(OR(SUM((DataTable[Окончание]&gt;=today)*(DataTable[%]&lt;=1)*(MONTH(DataTable[Окончание])=9)*--(YEAR(DataTable[Окончание])=2018))=1,AND(SUM((DataTable[Окончание]&gt;=today)*(DataTable[%]&lt;=1)*(MONTH(DataTable[Окончание])=9)*--(YEAR(DataTable[Окончание])=2018))&gt;20,VALUE(RIGHT(SUM((DataTable[Окончание]&gt;=today)*(DataTable[%]&lt;=1)*(MONTH(DataTable[Окончание])=9)*--(YEAR(DataTable[Окончание])=2018)),1))=1))," активное"," активных")</f>
        <v>11 активных</v>
      </c>
      <c r="L28" s="82"/>
      <c r="M28" s="83">
        <f t="array" ref="M28">SUMPRODUCT(DataTable[Рабочих дней],DataTable[%],--(MONTH(DataTable[Окончание])=9),--(YEAR(DataTable[Окончание])=2018))/SUM(DataTable[Рабочих дней]*--(MONTH(DataTable[Окончание])=9)*--(YEAR(DataTable[Окончание])=2018))</f>
        <v>0</v>
      </c>
      <c r="N28" s="82"/>
    </row>
    <row r="29" spans="1:14" ht="18.75" customHeight="1" x14ac:dyDescent="0.35">
      <c r="A29" s="85" t="str">
        <f t="array" aca="1" ref="A29" ca="1">SUM((DataTable[Окончание]&lt;today)*(DataTable[%]&lt;=1)*(MONTH(DataTable[Окончание])=7)*--(YEAR(DataTable[Окончание])=2018))&amp;IF(OR(SUM((DataTable[Окончание]&lt;today)*(DataTable[%]&lt;=1)*(MONTH(DataTable[Окончание])=7)*--(YEAR(DataTable[Окончание])=2018))=1,AND(SUM((DataTable[Окончание]&lt;today)*(DataTable[%]&lt;=1)*(MONTH(DataTable[Окончание])=7)*--(YEAR(DataTable[Окончание])=2018))&gt;20,VALUE(RIGHT(SUM((DataTable[Окончание]&lt;today)*(DataTable[%]&lt;=1)*(MONTH(DataTable[Окончание])=7)*--(YEAR(DataTable[Окончание])=2018)),1))=1))," просроченное"," просроченных")</f>
        <v>1 просроченное</v>
      </c>
      <c r="B29" s="162"/>
      <c r="C29" s="162"/>
      <c r="D29" s="162"/>
      <c r="E29" s="116"/>
      <c r="F29" s="85" t="str">
        <f t="array" aca="1" ref="F29" ca="1">SUM((DataTable[Окончание]&lt;today)*(DataTable[%]&lt;=1)*(MONTH(DataTable[Окончание])=8)*--(YEAR(DataTable[Окончание])=2018))&amp;IF(OR(SUM((DataTable[Окончание]&lt;today)*(DataTable[%]&lt;=1)*(MONTH(DataTable[Окончание])=8)*--(YEAR(DataTable[Окончание])=2018))=1,AND(SUM((DataTable[Окончание]&lt;today)*(DataTable[%]&lt;=1)*(MONTH(DataTable[Окончание])=8)*--(YEAR(DataTable[Окончание])=2018))&gt;20,VALUE(RIGHT(SUM((DataTable[Окончание]&lt;today)*(DataTable[%]&lt;=1)*(MONTH(DataTable[Окончание])=8)*--(YEAR(DataTable[Окончание])=2018)),1))=1))," просроченное"," просроченных")</f>
        <v>0 просроченных</v>
      </c>
      <c r="G29" s="162"/>
      <c r="H29" s="162"/>
      <c r="I29" s="162"/>
      <c r="J29" s="86"/>
      <c r="K29" s="85" t="str">
        <f t="array" aca="1" ref="K29" ca="1">SUM((DataTable[Окончание]&lt;today)*(DataTable[%]&lt;=1)*(MONTH(DataTable[Окончание])=9)*--(YEAR(DataTable[Окончание])=2018))&amp;IF(OR(SUM((DataTable[Окончание]&lt;today)*(DataTable[%]&lt;=1)*(MONTH(DataTable[Окончание])=9)*--(YEAR(DataTable[Окончание])=2018))=1,AND(SUM((DataTable[Окончание]&lt;today)*(DataTable[%]&lt;=1)*(MONTH(DataTable[Окончание])=9)*--(YEAR(DataTable[Окончание])=2018))&gt;20,VALUE(RIGHT(SUM((DataTable[Окончание]&lt;today)*(DataTable[%]&lt;=1)*(MONTH(DataTable[Окончание])=9)*--(YEAR(DataTable[Окончание])=2018)),1))=1))," просроченное"," просроченных")</f>
        <v>0 просроченных</v>
      </c>
      <c r="L29" s="162"/>
      <c r="M29" s="162"/>
      <c r="N29" s="162"/>
    </row>
    <row r="30" spans="1:14" ht="18.75" customHeight="1" x14ac:dyDescent="0.35">
      <c r="A30" s="81" t="str">
        <f t="array" ref="A30">SUM(IF(ISBLANK(DataTable[Окончание]),0,1/--(COUNTIF(DataTable[Окончание],DataTable[Окончание]))*(MONTH(DataTable[Окончание])=7)*--(YEAR(DataTable[Окончание])=2018)))&amp;IF(OR(SUM(IF(ISBLANK(DataTable[Окончание]),0,1/--(COUNTIF(DataTable[Окончание],DataTable[Окончание]))*(MONTH(DataTable[Окончание])=7)*--(YEAR(DataTable[Окончание])=2018)))=1,AND(SUM(IF(ISBLANK(DataTable[Окончание]),0,1/--(COUNTIF(DataTable[Окончание],DataTable[Окончание]))*(MONTH(DataTable[Окончание])=7)*--(YEAR(DataTable[Окончание])=2018)))&gt;20,VALUE(RIGHT(SUM(IF(ISBLANK(DataTable[Окончание]),0,1/--(COUNTIF(DataTable[Окончание],DataTable[Окончание]))*(MONTH(DataTable[Окончание])=7)*--(YEAR(DataTable[Окончание])=2018))),1))=1))," контр. срок",IF(OR(AND(SUM(IF(ISBLANK(DataTable[Окончание]),0,1/--(COUNTIF(DataTable[Окончание],DataTable[Окончание]))*(MONTH(DataTable[Окончание])=7)*--(YEAR(DataTable[Окончание])=2018)))&gt;=2,SUM(IF(ISBLANK(DataTable[Окончание]),0,1/--(COUNTIF(DataTable[Окончание],DataTable[Окончание]))*(MONTH(DataTable[Окончание])=7)*--(YEAR(DataTable[Окончание])=2018)))&lt;=4),AND(SUM(IF(ISBLANK(DataTable[Окончание]),0,1/--(COUNTIF(DataTable[Окончание],DataTable[Окончание]))*(MONTH(DataTable[Окончание])=7)*--(YEAR(DataTable[Окончание])=2018)))&gt;20,VALUE(RIGHT(SUM(IF(ISBLANK(DataTable[Окончание]),0,1/--(COUNTIF(DataTable[Окончание],DataTable[Окончание]))*(MONTH(DataTable[Окончание])=7)*--(YEAR(DataTable[Окончание])=2018))),1))=1))," контр. срока"," контр. сроков"))</f>
        <v>9 контр. сроков</v>
      </c>
      <c r="B30" s="161" t="s">
        <v>141</v>
      </c>
      <c r="C30" s="161"/>
      <c r="D30" s="161"/>
      <c r="E30" s="116"/>
      <c r="F30" s="81" t="str">
        <f t="array" ref="F30">SUM(IF(ISBLANK(DataTable[Окончание]),0,1/--(COUNTIF(DataTable[Окончание],DataTable[Окончание]))*(MONTH(DataTable[Окончание])=8)*--(YEAR(DataTable[Окончание])=2018)))&amp;IF(OR(SUM(IF(ISBLANK(DataTable[Окончание]),0,1/--(COUNTIF(DataTable[Окончание],DataTable[Окончание]))*(MONTH(DataTable[Окончание])=8)*--(YEAR(DataTable[Окончание])=2018)))=1,AND(SUM(IF(ISBLANK(DataTable[Окончание]),0,1/--(COUNTIF(DataTable[Окончание],DataTable[Окончание]))*(MONTH(DataTable[Окончание])=8)*--(YEAR(DataTable[Окончание])=2018)))&gt;20,VALUE(RIGHT(SUM(IF(ISBLANK(DataTable[Окончание]),0,1/--(COUNTIF(DataTable[Окончание],DataTable[Окончание]))*(MONTH(DataTable[Окончание])=8)*--(YEAR(DataTable[Окончание])=2018))),1))=1))," контр. срок",IF(OR(AND(SUM(IF(ISBLANK(DataTable[Окончание]),0,1/--(COUNTIF(DataTable[Окончание],DataTable[Окончание]))*(MONTH(DataTable[Окончание])=8)*--(YEAR(DataTable[Окончание])=2018)))&gt;=2,SUM(IF(ISBLANK(DataTable[Окончание]),0,1/--(COUNTIF(DataTable[Окончание],DataTable[Окончание]))*(MONTH(DataTable[Окончание])=8)*--(YEAR(DataTable[Окончание])=2018)))&lt;=4),AND(SUM(IF(ISBLANK(DataTable[Окончание]),0,1/--(COUNTIF(DataTable[Окончание],DataTable[Окончание]))*(MONTH(DataTable[Окончание])=8)*--(YEAR(DataTable[Окончание])=2018)))&gt;20,VALUE(RIGHT(SUM(IF(ISBLANK(DataTable[Окончание]),0,1/--(COUNTIF(DataTable[Окончание],DataTable[Окончание]))*(MONTH(DataTable[Окончание])=8)*--(YEAR(DataTable[Окончание])=2018))),1))=1))," контр. срока"," контр. сроков"))</f>
        <v>2 контр. срока</v>
      </c>
      <c r="G30" s="161" t="s">
        <v>141</v>
      </c>
      <c r="H30" s="161"/>
      <c r="I30" s="161"/>
      <c r="J30" s="86"/>
      <c r="K30" s="81" t="str">
        <f t="array" ref="K30">SUM(IF(ISBLANK(DataTable[Окончание]),0,1/--(COUNTIF(DataTable[Окончание],DataTable[Окончание]))*(MONTH(DataTable[Окончание])=9)*--(YEAR(DataTable[Окончание])=2018)))&amp;IF(OR(SUM(IF(ISBLANK(DataTable[Окончание]),0,1/--(COUNTIF(DataTable[Окончание],DataTable[Окончание]))*(MONTH(DataTable[Окончание])=9)*--(YEAR(DataTable[Окончание])=2018)))=1,AND(SUM(IF(ISBLANK(DataTable[Окончание]),0,1/--(COUNTIF(DataTable[Окончание],DataTable[Окончание]))*(MONTH(DataTable[Окончание])=9)*--(YEAR(DataTable[Окончание])=2018)))&gt;20,VALUE(RIGHT(SUM(IF(ISBLANK(DataTable[Окончание]),0,1/--(COUNTIF(DataTable[Окончание],DataTable[Окончание]))*(MONTH(DataTable[Окончание])=9)*--(YEAR(DataTable[Окончание])=2018))),1))=1))," контр. срок",IF(OR(AND(SUM(IF(ISBLANK(DataTable[Окончание]),0,1/--(COUNTIF(DataTable[Окончание],DataTable[Окончание]))*(MONTH(DataTable[Окончание])=9)*--(YEAR(DataTable[Окончание])=2018)))&gt;=2,SUM(IF(ISBLANK(DataTable[Окончание]),0,1/--(COUNTIF(DataTable[Окончание],DataTable[Окончание]))*(MONTH(DataTable[Окончание])=9)*--(YEAR(DataTable[Окончание])=2018)))&lt;=4),AND(SUM(IF(ISBLANK(DataTable[Окончание]),0,1/--(COUNTIF(DataTable[Окончание],DataTable[Окончание]))*(MONTH(DataTable[Окончание])=9)*--(YEAR(DataTable[Окончание])=2018)))&gt;20,VALUE(RIGHT(SUM(IF(ISBLANK(DataTable[Окончание]),0,1/--(COUNTIF(DataTable[Окончание],DataTable[Окончание]))*(MONTH(DataTable[Окончание])=9)*--(YEAR(DataTable[Окончание])=2018))),1))=1))," контр. срока"," контр. сроков"))</f>
        <v>8 контр. сроков</v>
      </c>
      <c r="L30" s="161" t="s">
        <v>141</v>
      </c>
      <c r="M30" s="161"/>
      <c r="N30" s="161"/>
    </row>
    <row r="31" spans="1:14" ht="22.5" customHeight="1" x14ac:dyDescent="0.35">
      <c r="A31" s="87"/>
      <c r="B31" s="87"/>
      <c r="C31" s="76">
        <f t="array" ref="C31">SUM(--(FREQUENCY(IF(MONTH(DataTable[Окончание])=7,MATCH(DataTable[Ответственный],DataTable[Ответственный],)),ROW(DataTable[Ответственный])-1)&gt;0))</f>
        <v>9</v>
      </c>
      <c r="D31" s="87"/>
      <c r="E31" s="87"/>
      <c r="F31" s="87"/>
      <c r="G31" s="87"/>
      <c r="H31" s="76">
        <f t="array" ref="H31">SUM(--(FREQUENCY(IF(MONTH(DataTable[Окончание])=8,MATCH(DataTable[Ответственный],DataTable[Ответственный],)),ROW(DataTable[Ответственный])-1)&gt;0))</f>
        <v>5</v>
      </c>
      <c r="I31" s="87"/>
      <c r="J31" s="87"/>
      <c r="K31" s="87"/>
      <c r="L31" s="87"/>
      <c r="M31" s="76">
        <f t="array" ref="M31">SUM(--(FREQUENCY(IF(MONTH(DataTable[Окончание])=9,MATCH(DataTable[Ответственный],DataTable[Ответственный],)),ROW(DataTable[Ответственный])-1)&gt;0))</f>
        <v>4</v>
      </c>
      <c r="N31" s="87"/>
    </row>
    <row r="32" spans="1:14" x14ac:dyDescent="0.35">
      <c r="A32" s="160"/>
      <c r="B32" s="160"/>
      <c r="C32" s="160"/>
      <c r="D32" s="160"/>
      <c r="E32" s="118"/>
      <c r="F32" s="160"/>
      <c r="G32" s="160"/>
      <c r="H32" s="160"/>
      <c r="I32" s="160"/>
      <c r="J32" s="118"/>
      <c r="K32" s="160"/>
      <c r="L32" s="160"/>
      <c r="M32" s="160"/>
      <c r="N32" s="160"/>
    </row>
    <row r="33" spans="1:14" ht="3.75" customHeight="1" x14ac:dyDescent="0.35">
      <c r="A33" s="118"/>
      <c r="B33" s="118"/>
      <c r="C33" s="118"/>
      <c r="D33" s="118"/>
      <c r="E33" s="118"/>
      <c r="F33" s="118"/>
      <c r="G33" s="118"/>
      <c r="H33" s="118"/>
      <c r="I33" s="118"/>
      <c r="J33" s="118"/>
      <c r="K33" s="118"/>
      <c r="L33" s="118"/>
      <c r="M33" s="118"/>
      <c r="N33" s="118"/>
    </row>
    <row r="34" spans="1:14" ht="18" customHeight="1" x14ac:dyDescent="0.35">
      <c r="A34" s="163" t="s">
        <v>171</v>
      </c>
      <c r="B34" s="74"/>
      <c r="C34" s="74"/>
      <c r="D34" s="74"/>
      <c r="E34" s="74"/>
      <c r="F34" s="163" t="s">
        <v>172</v>
      </c>
      <c r="G34" s="74"/>
      <c r="H34" s="74"/>
      <c r="I34" s="74"/>
      <c r="J34" s="74"/>
      <c r="K34" s="163" t="s">
        <v>173</v>
      </c>
      <c r="L34" s="74"/>
      <c r="M34" s="74"/>
      <c r="N34" s="74"/>
    </row>
    <row r="35" spans="1:14" ht="18" customHeight="1" x14ac:dyDescent="0.35">
      <c r="A35" s="163"/>
      <c r="B35" s="161" t="str">
        <f ca="1">IF(MONTH(TODAY())&gt;10,"затрачено времени:","требуется времени:")</f>
        <v>требуется времени:</v>
      </c>
      <c r="C35" s="161"/>
      <c r="D35" s="161"/>
      <c r="E35" s="117"/>
      <c r="F35" s="163"/>
      <c r="G35" s="161" t="str">
        <f ca="1">IF(MONTH(TODAY())&gt;11,"затрачено времени:","требуется времени:")</f>
        <v>требуется времени:</v>
      </c>
      <c r="H35" s="161"/>
      <c r="I35" s="161"/>
      <c r="J35" s="117"/>
      <c r="K35" s="163"/>
      <c r="L35" s="161" t="str">
        <f ca="1">IF(MONTH(TODAY())&gt;12,"затрачено времени:","требуется времени:")</f>
        <v>требуется времени:</v>
      </c>
      <c r="M35" s="161"/>
      <c r="N35" s="161"/>
    </row>
    <row r="36" spans="1:14" ht="33.75" customHeight="1" x14ac:dyDescent="0.35">
      <c r="A36" s="75">
        <f t="array" ref="A36">SUM(--(MONTH(DataTable[Окончание])=10)*--(YEAR(DataTable[Окончание])=2018))</f>
        <v>12</v>
      </c>
      <c r="B36" s="76">
        <f t="array" ref="B36">SUM((--MONTH(DataTable[Окончание])=10)*--(YEAR(DataTable[Окончание])=2018)*DataTable[Рабочих дней])</f>
        <v>63</v>
      </c>
      <c r="C36" s="77" t="str">
        <f t="array" ref="C36">IF(OR(SUM((--MONTH(DataTable[Окончание])=100)*--(YEAR(DataTable[Окончание])=2018)*DataTable[Рабочих дней])=1,AND(SUM((--MONTH(DataTable[Окончание])=100)*--(YEAR(DataTable[Окончание])=2018)*DataTable[Рабочих дней])&gt;20,VALUE(RIGHT(SUM((--MONTH(DataTable[Окончание])=100)*--(YEAR(DataTable[Окончание])=2018)*DataTable[Рабочих дней]),1))=1))," рабочий день",IF(OR(AND(SUM((--MONTH(DataTable[Окончание])=10)*--(YEAR(DataTable[Окончание])=2018)*DataTable[Рабочих дней])&gt;=2,SUM((--MONTH(DataTable[Окончание])=10)*--(YEAR(DataTable[Окончание])=2018)*DataTable[Рабочих дней])&lt;=4),AND(SUM((--MONTH(DataTable[Окончание])=10)*--(YEAR(DataTable[Окончание])=2018)*DataTable[Рабочих дней])&gt;20,AND(VALUE(RIGHT(SUM((--MONTH(DataTable[Окончание])=10)*--(YEAR(DataTable[Окончание])=2018)*DataTable[Рабочих дней]),1))&gt;=2,VALUE(RIGHT(SUM((--MONTH(DataTable[Окончание])=10)*--(YEAR(DataTable[Окончание])=2018)*DataTable[Рабочих дней]),1))&lt;=4)))," рабочих дня"," рабочих дней"))</f>
        <v xml:space="preserve"> рабочих дня</v>
      </c>
      <c r="D36" s="78"/>
      <c r="E36" s="116"/>
      <c r="F36" s="75">
        <f t="array" ref="F36">SUM(--(MONTH(DataTable[Окончание])=11)*--(YEAR(DataTable[Окончание])=2018))</f>
        <v>1</v>
      </c>
      <c r="G36" s="76">
        <f t="array" ref="G36">SUM((--MONTH(DataTable[Окончание])=11)*--(YEAR(DataTable[Окончание])=2018)*DataTable[Рабочих дней])</f>
        <v>6</v>
      </c>
      <c r="H36" s="77" t="str">
        <f t="array" ref="H36">IF(OR(SUM((--MONTH(DataTable[Окончание])=111)*--(YEAR(DataTable[Окончание])=2018)*DataTable[Рабочих дней])=1,AND(SUM((--MONTH(DataTable[Окончание])=111)*--(YEAR(DataTable[Окончание])=2018)*DataTable[Рабочих дней])&gt;20,VALUE(RIGHT(SUM((--MONTH(DataTable[Окончание])=111)*--(YEAR(DataTable[Окончание])=2018)*DataTable[Рабочих дней]),1))=1))," рабочий день",IF(OR(AND(SUM((--MONTH(DataTable[Окончание])=11)*--(YEAR(DataTable[Окончание])=2018)*DataTable[Рабочих дней])&gt;=2,SUM((--MONTH(DataTable[Окончание])=11)*--(YEAR(DataTable[Окончание])=2018)*DataTable[Рабочих дней])&lt;=4),AND(SUM((--MONTH(DataTable[Окончание])=11)*--(YEAR(DataTable[Окончание])=2018)*DataTable[Рабочих дней])&gt;20,AND(VALUE(RIGHT(SUM((--MONTH(DataTable[Окончание])=11)*--(YEAR(DataTable[Окончание])=2018)*DataTable[Рабочих дней]),1))&gt;=2,VALUE(RIGHT(SUM((--MONTH(DataTable[Окончание])=11)*--(YEAR(DataTable[Окончание])=2018)*DataTable[Рабочих дней]),1))&lt;=4)))," рабочих дня"," рабочих дней"))</f>
        <v xml:space="preserve"> рабочих дней</v>
      </c>
      <c r="I36" s="78"/>
      <c r="J36" s="79"/>
      <c r="K36" s="75">
        <f t="array" ref="K36">SUM(--(MONTH(DataTable[Окончание])=12)*--(YEAR(DataTable[Окончание])=2018))</f>
        <v>4</v>
      </c>
      <c r="L36" s="76">
        <f t="array" ref="L36">SUM((--MONTH(DataTable[Окончание])=12)*--(YEAR(DataTable[Окончание])=2018)*DataTable[Рабочих дней])</f>
        <v>11</v>
      </c>
      <c r="M36" s="77" t="str">
        <f t="array" ref="M36">IF(OR(SUM((--MONTH(DataTable[Окончание])=122)*--(YEAR(DataTable[Окончание])=2018)*DataTable[Рабочих дней])=1,AND(SUM((--MONTH(DataTable[Окончание])=122)*--(YEAR(DataTable[Окончание])=2018)*DataTable[Рабочих дней])&gt;20,VALUE(RIGHT(SUM((--MONTH(DataTable[Окончание])=122)*--(YEAR(DataTable[Окончание])=2018)*DataTable[Рабочих дней]),1))=1))," рабочий день",IF(OR(AND(SUM((--MONTH(DataTable[Окончание])=12)*--(YEAR(DataTable[Окончание])=2018)*DataTable[Рабочих дней])&gt;=2,SUM((--MONTH(DataTable[Окончание])=12)*--(YEAR(DataTable[Окончание])=2018)*DataTable[Рабочих дней])&lt;=4),AND(SUM((--MONTH(DataTable[Окончание])=12)*--(YEAR(DataTable[Окончание])=2018)*DataTable[Рабочих дней])&gt;20,AND(VALUE(RIGHT(SUM((--MONTH(DataTable[Окончание])=12)*--(YEAR(DataTable[Окончание])=2018)*DataTable[Рабочих дней]),1))&gt;=2,VALUE(RIGHT(SUM((--MONTH(DataTable[Окончание])=12)*--(YEAR(DataTable[Окончание])=2018)*DataTable[Рабочих дней]),1))&lt;=4)))," рабочих дня"," рабочих дней"))</f>
        <v xml:space="preserve"> рабочих дней</v>
      </c>
      <c r="N36" s="78"/>
    </row>
    <row r="37" spans="1:14" ht="18" customHeight="1" x14ac:dyDescent="0.35">
      <c r="A37" s="80" t="str">
        <f>IF($A$36=1,"действие",IF(AND($A$36&gt;=2,$A$36&lt;=4),"действия",IF(AND($A$36&gt;20,VALUE(RIGHT($A$36,1))=1),"действие",IF(AND($A$36&gt;20,VALUE(RIGHT($A$36,1))&gt;=2,VALUE(RIGHT($A$36,1))&lt;=4),"действия","действий"))))</f>
        <v>действий</v>
      </c>
      <c r="B37" s="161" t="s">
        <v>140</v>
      </c>
      <c r="C37" s="161"/>
      <c r="D37" s="161"/>
      <c r="E37" s="116"/>
      <c r="F37" s="80" t="str">
        <f>IF($F$36=1,"действие",IF(AND($F$36&gt;=2,$F$36&lt;=4),"действия",IF(AND($F$36&gt;20,VALUE(RIGHT($F$36,1))=1),"действие",IF(AND($F$36&gt;20,VALUE(RIGHT($F$36,1))&gt;=2,VALUE(RIGHT($F$36,1))&lt;=4),"действия","действий"))))</f>
        <v>действие</v>
      </c>
      <c r="G37" s="161" t="s">
        <v>140</v>
      </c>
      <c r="H37" s="161"/>
      <c r="I37" s="161"/>
      <c r="J37" s="117"/>
      <c r="K37" s="80" t="str">
        <f>IF($K$36=1,"действие",IF(AND($K$36&gt;=2,$K$36&lt;=4),"действия",IF(AND($K$36&gt;20,VALUE(RIGHT($K$36,1))=1),"действие",IF(AND($K$36&gt;20,VALUE(RIGHT($K$36,1))&gt;=2,VALUE(RIGHT($K$36,1))&lt;=4),"действия","действий"))))</f>
        <v>действия</v>
      </c>
      <c r="L37" s="161" t="s">
        <v>140</v>
      </c>
      <c r="M37" s="161"/>
      <c r="N37" s="161"/>
    </row>
    <row r="38" spans="1:14" ht="18.75" customHeight="1" x14ac:dyDescent="0.35">
      <c r="A38" s="81" t="str">
        <f t="array" aca="1" ref="A38" ca="1">SUM((DataTable[Окончание]&gt;=today)*(DataTable[%]&lt;=1)*(MONTH(DataTable[Окончание])=10)*--(YEAR(DataTable[Окончание])=2018))&amp;IF(OR(SUM((DataTable[Окончание]&gt;=today)*(DataTable[%]&lt;=1)*(MONTH(DataTable[Окончание])=10)*--(YEAR(DataTable[Окончание])=2018))=1,AND(SUM((DataTable[Окончание]&gt;=today)*(DataTable[%]&lt;=1)*(MONTH(DataTable[Окончание])=10)*--(YEAR(DataTable[Окончание])=2018))&gt;20,VALUE(RIGHT(SUM((DataTable[Окончание]&gt;=today)*(DataTable[%]&lt;=1)*(MONTH(DataTable[Окончание])=10)*--(YEAR(DataTable[Окончание])=2018)),1))=1))," активное"," активных")</f>
        <v>12 активных</v>
      </c>
      <c r="B38" s="82"/>
      <c r="C38" s="83">
        <f t="array" ref="C38">SUMPRODUCT(DataTable[Рабочих дней],DataTable[%],--(MONTH(DataTable[Окончание])=10),--(YEAR(DataTable[Окончание])=2018))/SUM(DataTable[Рабочих дней]*--(MONTH(DataTable[Окончание])=10)*--(YEAR(DataTable[Окончание])=2018))</f>
        <v>0</v>
      </c>
      <c r="D38" s="82"/>
      <c r="E38" s="116"/>
      <c r="F38" s="81" t="str">
        <f t="array" aca="1" ref="F38" ca="1">SUM((DataTable[Окончание]&gt;=today)*(DataTable[%]&lt;=1)*(MONTH(DataTable[Окончание])=11)*--(YEAR(DataTable[Окончание])=2018))&amp;IF(OR(SUM((DataTable[Окончание]&gt;=today)*(DataTable[%]&lt;=1)*(MONTH(DataTable[Окончание])=11)*--(YEAR(DataTable[Окончание])=2018))=1,AND(SUM((DataTable[Окончание]&gt;=today)*(DataTable[%]&lt;=1)*(MONTH(DataTable[Окончание])=11)*--(YEAR(DataTable[Окончание])=2018))&gt;20,VALUE(RIGHT(SUM((DataTable[Окончание]&gt;=today)*(DataTable[%]&lt;=1)*(MONTH(DataTable[Окончание])=11)*--(YEAR(DataTable[Окончание])=2018)),1))=1))," активное"," активных")</f>
        <v>1 активное</v>
      </c>
      <c r="G38" s="82"/>
      <c r="H38" s="83">
        <f t="array" ref="H38">SUMPRODUCT(DataTable[Рабочих дней],DataTable[%],--(MONTH(DataTable[Окончание])=11),--(YEAR(DataTable[Окончание])=2018))/SUM(DataTable[Рабочих дней]*--(MONTH(DataTable[Окончание])=11)*--(YEAR(DataTable[Окончание])=2018))</f>
        <v>0</v>
      </c>
      <c r="I38" s="82"/>
      <c r="J38" s="84"/>
      <c r="K38" s="81" t="str">
        <f t="array" aca="1" ref="K38" ca="1">SUM((DataTable[Окончание]&gt;=today)*(DataTable[%]&lt;=1)*(MONTH(DataTable[Окончание])=12)*--(YEAR(DataTable[Окончание])=2018))&amp;IF(OR(SUM((DataTable[Окончание]&gt;=today)*(DataTable[%]&lt;=1)*(MONTH(DataTable[Окончание])=12)*--(YEAR(DataTable[Окончание])=2018))=1,AND(SUM((DataTable[Окончание]&gt;=today)*(DataTable[%]&lt;=1)*(MONTH(DataTable[Окончание])=12)*--(YEAR(DataTable[Окончание])=2018))&gt;20,VALUE(RIGHT(SUM((DataTable[Окончание]&gt;=today)*(DataTable[%]&lt;=1)*(MONTH(DataTable[Окончание])=12)*--(YEAR(DataTable[Окончание])=2018)),1))=1))," активное"," активных")</f>
        <v>4 активных</v>
      </c>
      <c r="L38" s="82"/>
      <c r="M38" s="83">
        <f t="array" ref="M38">SUMPRODUCT(DataTable[Рабочих дней],DataTable[%],--(MONTH(DataTable[Окончание])=12),--(YEAR(DataTable[Окончание])=2018))/SUM(DataTable[Рабочих дней]*--(MONTH(DataTable[Окончание])=12)*--(YEAR(DataTable[Окончание])=2018))</f>
        <v>0</v>
      </c>
      <c r="N38" s="82"/>
    </row>
    <row r="39" spans="1:14" ht="18.75" customHeight="1" x14ac:dyDescent="0.35">
      <c r="A39" s="85" t="str">
        <f t="array" aca="1" ref="A39" ca="1">SUM((DataTable[Окончание]&lt;today)*(DataTable[%]&lt;=1)*(MONTH(DataTable[Окончание])=10)*--(YEAR(DataTable[Окончание])=2018))&amp;IF(OR(SUM((DataTable[Окончание]&lt;today)*(DataTable[%]&lt;=1)*(MONTH(DataTable[Окончание])=10)*--(YEAR(DataTable[Окончание])=2018))=1,AND(SUM((DataTable[Окончание]&lt;today)*(DataTable[%]&lt;=1)*(MONTH(DataTable[Окончание])=10)*--(YEAR(DataTable[Окончание])=2018))&gt;20,VALUE(RIGHT(SUM((DataTable[Окончание]&lt;today)*(DataTable[%]&lt;=1)*(MONTH(DataTable[Окончание])=10)*--(YEAR(DataTable[Окончание])=2018)),1))=1))," просроченное"," просроченных")</f>
        <v>0 просроченных</v>
      </c>
      <c r="B39" s="162"/>
      <c r="C39" s="162"/>
      <c r="D39" s="162"/>
      <c r="E39" s="116"/>
      <c r="F39" s="85" t="str">
        <f t="array" aca="1" ref="F39" ca="1">SUM((DataTable[Окончание]&lt;today)*(DataTable[%]&lt;=1)*(MONTH(DataTable[Окончание])=11)*--(YEAR(DataTable[Окончание])=2018))&amp;IF(OR(SUM((DataTable[Окончание]&lt;today)*(DataTable[%]&lt;=1)*(MONTH(DataTable[Окончание])=11)*--(YEAR(DataTable[Окончание])=2018))=1,AND(SUM((DataTable[Окончание]&lt;today)*(DataTable[%]&lt;=1)*(MONTH(DataTable[Окончание])=11)*--(YEAR(DataTable[Окончание])=2018))&gt;20,VALUE(RIGHT(SUM((DataTable[Окончание]&lt;today)*(DataTable[%]&lt;=1)*(MONTH(DataTable[Окончание])=11)*--(YEAR(DataTable[Окончание])=2018)),1))=1))," просроченное"," просроченных")</f>
        <v>0 просроченных</v>
      </c>
      <c r="G39" s="162"/>
      <c r="H39" s="162"/>
      <c r="I39" s="162"/>
      <c r="J39" s="86"/>
      <c r="K39" s="85" t="str">
        <f t="array" aca="1" ref="K39" ca="1">SUM((DataTable[Окончание]&lt;today)*(DataTable[%]&lt;=1)*(MONTH(DataTable[Окончание])=12)*--(YEAR(DataTable[Окончание])=2018))&amp;IF(OR(SUM((DataTable[Окончание]&lt;today)*(DataTable[%]&lt;=1)*(MONTH(DataTable[Окончание])=12)*--(YEAR(DataTable[Окончание])=2018))=1,AND(SUM((DataTable[Окончание]&lt;today)*(DataTable[%]&lt;=1)*(MONTH(DataTable[Окончание])=12)*--(YEAR(DataTable[Окончание])=2018))&gt;20,VALUE(RIGHT(SUM((DataTable[Окончание]&lt;today)*(DataTable[%]&lt;=1)*(MONTH(DataTable[Окончание])=12)*--(YEAR(DataTable[Окончание])=2018)),1))=1))," просроченное"," просроченных")</f>
        <v>0 просроченных</v>
      </c>
      <c r="L39" s="162"/>
      <c r="M39" s="162"/>
      <c r="N39" s="162"/>
    </row>
    <row r="40" spans="1:14" ht="18.75" customHeight="1" x14ac:dyDescent="0.35">
      <c r="A40" s="81" t="str">
        <f t="array" ref="A40">SUM(IF(ISBLANK(DataTable[Окончание]),0,1/--(COUNTIF(DataTable[Окончание],DataTable[Окончание]))*(MONTH(DataTable[Окончание])=10)*--(YEAR(DataTable[Окончание])=2018)))&amp;IF(OR(SUM(IF(ISBLANK(DataTable[Окончание]),0,1/--(COUNTIF(DataTable[Окончание],DataTable[Окончание]))*(MONTH(DataTable[Окончание])=10)*--(YEAR(DataTable[Окончание])=2018)))=1,AND(SUM(IF(ISBLANK(DataTable[Окончание]),0,1/--(COUNTIF(DataTable[Окончание],DataTable[Окончание]))*(MONTH(DataTable[Окончание])=10)*--(YEAR(DataTable[Окончание])=2018)))&gt;20,VALUE(RIGHT(SUM(IF(ISBLANK(DataTable[Окончание]),0,1/--(COUNTIF(DataTable[Окончание],DataTable[Окончание]))*(MONTH(DataTable[Окончание])=10)*--(YEAR(DataTable[Окончание])=2018))),1))=1))," контр. срок",IF(OR(AND(SUM(IF(ISBLANK(DataTable[Окончание]),0,1/--(COUNTIF(DataTable[Окончание],DataTable[Окончание]))*(MONTH(DataTable[Окончание])=10)*--(YEAR(DataTable[Окончание])=2018)))&gt;=2,SUM(IF(ISBLANK(DataTable[Окончание]),0,1/--(COUNTIF(DataTable[Окончание],DataTable[Окончание]))*(MONTH(DataTable[Окончание])=10)*--(YEAR(DataTable[Окончание])=2018)))&lt;=4),AND(SUM(IF(ISBLANK(DataTable[Окончание]),0,1/--(COUNTIF(DataTable[Окончание],DataTable[Окончание]))*(MONTH(DataTable[Окончание])=10)*--(YEAR(DataTable[Окончание])=2018)))&gt;20,VALUE(RIGHT(SUM(IF(ISBLANK(DataTable[Окончание]),0,1/--(COUNTIF(DataTable[Окончание],DataTable[Окончание]))*(MONTH(DataTable[Окончание])=10)*--(YEAR(DataTable[Окончание])=2018))),1))=1))," контр. срока"," контр. сроков"))</f>
        <v>6 контр. сроков</v>
      </c>
      <c r="B40" s="161" t="s">
        <v>141</v>
      </c>
      <c r="C40" s="161"/>
      <c r="D40" s="161"/>
      <c r="E40" s="116"/>
      <c r="F40" s="81" t="str">
        <f t="array" ref="F40">SUM(IF(ISBLANK(DataTable[Окончание]),0,1/--(COUNTIF(DataTable[Окончание],DataTable[Окончание]))*(MONTH(DataTable[Окончание])=11)*--(YEAR(DataTable[Окончание])=2018)))&amp;IF(OR(SUM(IF(ISBLANK(DataTable[Окончание]),0,1/--(COUNTIF(DataTable[Окончание],DataTable[Окончание]))*(MONTH(DataTable[Окончание])=11)*--(YEAR(DataTable[Окончание])=2018)))=1,AND(SUM(IF(ISBLANK(DataTable[Окончание]),0,1/--(COUNTIF(DataTable[Окончание],DataTable[Окончание]))*(MONTH(DataTable[Окончание])=11)*--(YEAR(DataTable[Окончание])=2018)))&gt;20,VALUE(RIGHT(SUM(IF(ISBLANK(DataTable[Окончание]),0,1/--(COUNTIF(DataTable[Окончание],DataTable[Окончание]))*(MONTH(DataTable[Окончание])=11)*--(YEAR(DataTable[Окончание])=2018))),1))=1))," контр. срок",IF(OR(AND(SUM(IF(ISBLANK(DataTable[Окончание]),0,1/--(COUNTIF(DataTable[Окончание],DataTable[Окончание]))*(MONTH(DataTable[Окончание])=11)*--(YEAR(DataTable[Окончание])=2018)))&gt;=2,SUM(IF(ISBLANK(DataTable[Окончание]),0,1/--(COUNTIF(DataTable[Окончание],DataTable[Окончание]))*(MONTH(DataTable[Окончание])=11)*--(YEAR(DataTable[Окончание])=2018)))&lt;=4),AND(SUM(IF(ISBLANK(DataTable[Окончание]),0,1/--(COUNTIF(DataTable[Окончание],DataTable[Окончание]))*(MONTH(DataTable[Окончание])=11)*--(YEAR(DataTable[Окончание])=2018)))&gt;20,VALUE(RIGHT(SUM(IF(ISBLANK(DataTable[Окончание]),0,1/--(COUNTIF(DataTable[Окончание],DataTable[Окончание]))*(MONTH(DataTable[Окончание])=11)*--(YEAR(DataTable[Окончание])=2018))),1))=1))," контр. срока"," контр. сроков"))</f>
        <v>1 контр. срок</v>
      </c>
      <c r="G40" s="161" t="s">
        <v>141</v>
      </c>
      <c r="H40" s="161"/>
      <c r="I40" s="161"/>
      <c r="J40" s="86"/>
      <c r="K40" s="81" t="str">
        <f t="array" ref="K40">SUM(IF(ISBLANK(DataTable[Окончание]),0,1/--(COUNTIF(DataTable[Окончание],DataTable[Окончание]))*(MONTH(DataTable[Окончание])=12)*--(YEAR(DataTable[Окончание])=2018)))&amp;IF(OR(SUM(IF(ISBLANK(DataTable[Окончание]),0,1/--(COUNTIF(DataTable[Окончание],DataTable[Окончание]))*(MONTH(DataTable[Окончание])=12)*--(YEAR(DataTable[Окончание])=2018)))=1,AND(SUM(IF(ISBLANK(DataTable[Окончание]),0,1/--(COUNTIF(DataTable[Окончание],DataTable[Окончание]))*(MONTH(DataTable[Окончание])=12)*--(YEAR(DataTable[Окончание])=2018)))&gt;20,VALUE(RIGHT(SUM(IF(ISBLANK(DataTable[Окончание]),0,1/--(COUNTIF(DataTable[Окончание],DataTable[Окончание]))*(MONTH(DataTable[Окончание])=12)*--(YEAR(DataTable[Окончание])=2018))),1))=1))," контр. срок",IF(OR(AND(SUM(IF(ISBLANK(DataTable[Окончание]),0,1/--(COUNTIF(DataTable[Окончание],DataTable[Окончание]))*(MONTH(DataTable[Окончание])=12)*--(YEAR(DataTable[Окончание])=2018)))&gt;=2,SUM(IF(ISBLANK(DataTable[Окончание]),0,1/--(COUNTIF(DataTable[Окончание],DataTable[Окончание]))*(MONTH(DataTable[Окончание])=12)*--(YEAR(DataTable[Окончание])=2018)))&lt;=4),AND(SUM(IF(ISBLANK(DataTable[Окончание]),0,1/--(COUNTIF(DataTable[Окончание],DataTable[Окончание]))*(MONTH(DataTable[Окончание])=12)*--(YEAR(DataTable[Окончание])=2018)))&gt;20,VALUE(RIGHT(SUM(IF(ISBLANK(DataTable[Окончание]),0,1/--(COUNTIF(DataTable[Окончание],DataTable[Окончание]))*(MONTH(DataTable[Окончание])=12)*--(YEAR(DataTable[Окончание])=2018))),1))=1))," контр. срока"," контр. сроков"))</f>
        <v>2 контр. срока</v>
      </c>
      <c r="L40" s="161" t="s">
        <v>141</v>
      </c>
      <c r="M40" s="161"/>
      <c r="N40" s="161"/>
    </row>
    <row r="41" spans="1:14" ht="22.5" customHeight="1" x14ac:dyDescent="0.35">
      <c r="A41" s="87"/>
      <c r="B41" s="87"/>
      <c r="C41" s="76">
        <f t="array" ref="C41">SUM(--(FREQUENCY(IF(MONTH(DataTable[Окончание])=10,MATCH(DataTable[Ответственный],DataTable[Ответственный],)),ROW(DataTable[Ответственный])-1)&gt;0))</f>
        <v>3</v>
      </c>
      <c r="D41" s="87"/>
      <c r="E41" s="87"/>
      <c r="F41" s="87"/>
      <c r="G41" s="87"/>
      <c r="H41" s="76">
        <f t="array" ref="H41">SUM(--(FREQUENCY(IF(MONTH(DataTable[Окончание])=11,MATCH(DataTable[Ответственный],DataTable[Ответственный],)),ROW(DataTable[Ответственный])-1)&gt;0))</f>
        <v>1</v>
      </c>
      <c r="I41" s="87"/>
      <c r="J41" s="87"/>
      <c r="K41" s="87"/>
      <c r="L41" s="87"/>
      <c r="M41" s="76">
        <f t="array" ref="M41">SUM(--(FREQUENCY(IF(MONTH(DataTable[Окончание])=12,MATCH(DataTable[Ответственный],DataTable[Ответственный],)),ROW(DataTable[Ответственный])-1)&gt;0))</f>
        <v>3</v>
      </c>
      <c r="N41" s="87"/>
    </row>
    <row r="42" spans="1:14" x14ac:dyDescent="0.35">
      <c r="A42" s="160"/>
      <c r="B42" s="160"/>
      <c r="C42" s="160"/>
      <c r="D42" s="160"/>
      <c r="E42" s="118"/>
      <c r="F42" s="160"/>
      <c r="G42" s="160"/>
      <c r="H42" s="160"/>
      <c r="I42" s="160"/>
      <c r="J42" s="118"/>
      <c r="K42" s="160"/>
      <c r="L42" s="160"/>
      <c r="M42" s="160"/>
      <c r="N42" s="160"/>
    </row>
    <row r="43" spans="1:14" x14ac:dyDescent="0.35">
      <c r="A43" s="73"/>
      <c r="B43" s="73"/>
      <c r="C43" s="73"/>
      <c r="D43" s="73"/>
      <c r="E43" s="119"/>
      <c r="F43" s="73"/>
      <c r="G43" s="73"/>
      <c r="H43" s="73"/>
      <c r="I43" s="73"/>
      <c r="J43" s="119"/>
      <c r="K43" s="73"/>
      <c r="L43" s="73"/>
      <c r="M43" s="73"/>
      <c r="N43" s="73"/>
    </row>
    <row r="44" spans="1:14" x14ac:dyDescent="0.35">
      <c r="A44" s="73"/>
      <c r="B44" s="73"/>
      <c r="C44" s="73"/>
      <c r="D44" s="73"/>
      <c r="E44" s="119"/>
      <c r="F44" s="73"/>
      <c r="G44" s="73"/>
      <c r="H44" s="73"/>
      <c r="I44" s="73"/>
      <c r="J44" s="119"/>
      <c r="K44" s="73"/>
      <c r="L44" s="73"/>
      <c r="M44" s="73"/>
      <c r="N44" s="73"/>
    </row>
    <row r="45" spans="1:14" x14ac:dyDescent="0.35">
      <c r="A45" s="73"/>
      <c r="B45" s="73"/>
      <c r="C45" s="73"/>
      <c r="D45" s="73"/>
      <c r="E45" s="119"/>
      <c r="F45" s="73"/>
      <c r="G45" s="73"/>
      <c r="H45" s="73"/>
      <c r="I45" s="73"/>
      <c r="J45" s="119"/>
      <c r="K45" s="73"/>
      <c r="L45" s="73"/>
      <c r="M45" s="73"/>
      <c r="N45" s="73"/>
    </row>
  </sheetData>
  <sheetProtection password="8424" sheet="1" objects="1" scenarios="1" autoFilter="0"/>
  <mergeCells count="73">
    <mergeCell ref="A1:N2"/>
    <mergeCell ref="B19:D19"/>
    <mergeCell ref="G19:I19"/>
    <mergeCell ref="K4:K5"/>
    <mergeCell ref="L5:N5"/>
    <mergeCell ref="B7:D7"/>
    <mergeCell ref="L7:N7"/>
    <mergeCell ref="B9:D9"/>
    <mergeCell ref="L9:N9"/>
    <mergeCell ref="G9:I9"/>
    <mergeCell ref="L19:N19"/>
    <mergeCell ref="A4:A5"/>
    <mergeCell ref="B5:D5"/>
    <mergeCell ref="G7:I7"/>
    <mergeCell ref="F4:F5"/>
    <mergeCell ref="G5:I5"/>
    <mergeCell ref="A14:A15"/>
    <mergeCell ref="F14:F15"/>
    <mergeCell ref="K14:K15"/>
    <mergeCell ref="B15:D15"/>
    <mergeCell ref="G15:I15"/>
    <mergeCell ref="B20:D20"/>
    <mergeCell ref="L30:N30"/>
    <mergeCell ref="K12:N12"/>
    <mergeCell ref="G10:I10"/>
    <mergeCell ref="L10:N10"/>
    <mergeCell ref="L15:N15"/>
    <mergeCell ref="A12:D12"/>
    <mergeCell ref="G17:I17"/>
    <mergeCell ref="L17:N17"/>
    <mergeCell ref="G27:I27"/>
    <mergeCell ref="L27:N27"/>
    <mergeCell ref="F12:I12"/>
    <mergeCell ref="B10:D10"/>
    <mergeCell ref="G30:I30"/>
    <mergeCell ref="G20:I20"/>
    <mergeCell ref="B17:D17"/>
    <mergeCell ref="K22:N22"/>
    <mergeCell ref="L29:N29"/>
    <mergeCell ref="A24:A25"/>
    <mergeCell ref="F24:F25"/>
    <mergeCell ref="K24:K25"/>
    <mergeCell ref="B25:D25"/>
    <mergeCell ref="G25:I25"/>
    <mergeCell ref="L25:N25"/>
    <mergeCell ref="A42:D42"/>
    <mergeCell ref="F42:I42"/>
    <mergeCell ref="K42:N42"/>
    <mergeCell ref="G37:I37"/>
    <mergeCell ref="L37:N37"/>
    <mergeCell ref="G40:I40"/>
    <mergeCell ref="L40:N40"/>
    <mergeCell ref="B37:D37"/>
    <mergeCell ref="B39:D39"/>
    <mergeCell ref="B40:D40"/>
    <mergeCell ref="G39:I39"/>
    <mergeCell ref="L39:N39"/>
    <mergeCell ref="F32:I32"/>
    <mergeCell ref="K32:N32"/>
    <mergeCell ref="L35:N35"/>
    <mergeCell ref="L20:N20"/>
    <mergeCell ref="A32:D32"/>
    <mergeCell ref="B27:D27"/>
    <mergeCell ref="B29:D29"/>
    <mergeCell ref="B30:D30"/>
    <mergeCell ref="G29:I29"/>
    <mergeCell ref="A34:A35"/>
    <mergeCell ref="F34:F35"/>
    <mergeCell ref="K34:K35"/>
    <mergeCell ref="B35:D35"/>
    <mergeCell ref="G35:I35"/>
    <mergeCell ref="A22:D22"/>
    <mergeCell ref="F22:I22"/>
  </mergeCells>
  <conditionalFormatting sqref="A4:D5 A7:D12 B6:D6">
    <cfRule type="expression" dxfId="225" priority="196">
      <formula>MONTH(today)&gt;1</formula>
    </cfRule>
    <cfRule type="expression" dxfId="224" priority="197">
      <formula>MONTH(today)=1</formula>
    </cfRule>
    <cfRule type="expression" dxfId="223" priority="198">
      <formula>MONTH(today)&lt;1</formula>
    </cfRule>
  </conditionalFormatting>
  <conditionalFormatting sqref="F4:I5 F7:I12 G6:I6">
    <cfRule type="expression" dxfId="222" priority="67">
      <formula>MONTH(today)&gt;2</formula>
    </cfRule>
    <cfRule type="expression" dxfId="221" priority="68">
      <formula>MONTH(today)=2</formula>
    </cfRule>
    <cfRule type="expression" dxfId="220" priority="69">
      <formula>MONTH(today)&lt;2</formula>
    </cfRule>
  </conditionalFormatting>
  <conditionalFormatting sqref="K4:N5 K7:N12 L6:N6">
    <cfRule type="expression" dxfId="219" priority="64">
      <formula>MONTH(today)&gt;3</formula>
    </cfRule>
    <cfRule type="expression" dxfId="218" priority="65">
      <formula>MONTH(today)=3</formula>
    </cfRule>
    <cfRule type="expression" dxfId="217" priority="66">
      <formula>MONTH(today)&lt;3</formula>
    </cfRule>
  </conditionalFormatting>
  <conditionalFormatting sqref="A14:D15 A17:D22 B16:D16">
    <cfRule type="expression" dxfId="216" priority="61">
      <formula>MONTH(today)&gt;4</formula>
    </cfRule>
    <cfRule type="expression" dxfId="215" priority="62">
      <formula>MONTH(today)=4</formula>
    </cfRule>
    <cfRule type="expression" dxfId="214" priority="63">
      <formula>MONTH(today)&lt;4</formula>
    </cfRule>
  </conditionalFormatting>
  <conditionalFormatting sqref="F14:I15 F17:I22 G16:I16">
    <cfRule type="expression" dxfId="213" priority="58">
      <formula>MONTH(today)&gt;5</formula>
    </cfRule>
    <cfRule type="expression" dxfId="212" priority="59">
      <formula>MONTH(today)=5</formula>
    </cfRule>
    <cfRule type="expression" dxfId="211" priority="60">
      <formula>MONTH(today)&lt;5</formula>
    </cfRule>
  </conditionalFormatting>
  <conditionalFormatting sqref="K14:N15 K17:N22 L16:N16">
    <cfRule type="expression" dxfId="210" priority="55">
      <formula>MONTH(today)&gt;6</formula>
    </cfRule>
    <cfRule type="expression" dxfId="209" priority="56">
      <formula>MONTH(today)=6</formula>
    </cfRule>
    <cfRule type="expression" dxfId="208" priority="57">
      <formula>MONTH(today)&lt;6</formula>
    </cfRule>
  </conditionalFormatting>
  <conditionalFormatting sqref="A24:D25 A27:D32 B26:D26">
    <cfRule type="expression" dxfId="207" priority="52">
      <formula>MONTH(today)&gt;7</formula>
    </cfRule>
    <cfRule type="expression" dxfId="206" priority="53">
      <formula>MONTH(today)=7</formula>
    </cfRule>
    <cfRule type="expression" dxfId="205" priority="54">
      <formula>MONTH(today)&lt;7</formula>
    </cfRule>
  </conditionalFormatting>
  <conditionalFormatting sqref="F24:I25 F27:I32 G26:I26">
    <cfRule type="expression" dxfId="204" priority="49">
      <formula>MONTH(today)&gt;8</formula>
    </cfRule>
    <cfRule type="expression" dxfId="203" priority="50">
      <formula>MONTH(today)=8</formula>
    </cfRule>
    <cfRule type="expression" dxfId="202" priority="51">
      <formula>MONTH(today)&lt;8</formula>
    </cfRule>
  </conditionalFormatting>
  <conditionalFormatting sqref="K24:N25 K27:N32 L26:N26">
    <cfRule type="expression" dxfId="201" priority="46">
      <formula>MONTH(today)&gt;9</formula>
    </cfRule>
    <cfRule type="expression" dxfId="200" priority="47">
      <formula>MONTH(today)=9</formula>
    </cfRule>
    <cfRule type="expression" dxfId="199" priority="48">
      <formula>MONTH(today)&lt;9</formula>
    </cfRule>
  </conditionalFormatting>
  <conditionalFormatting sqref="A34:D35 A37:D42 B36:D36">
    <cfRule type="expression" dxfId="198" priority="43">
      <formula>MONTH(today)&gt;10</formula>
    </cfRule>
    <cfRule type="expression" dxfId="197" priority="44">
      <formula>MONTH(today)=10</formula>
    </cfRule>
    <cfRule type="expression" dxfId="196" priority="45">
      <formula>MONTH(today)&lt;10</formula>
    </cfRule>
  </conditionalFormatting>
  <conditionalFormatting sqref="F34:I35 F37:I42 G36:I36">
    <cfRule type="expression" dxfId="195" priority="40">
      <formula>MONTH(today)&gt;11</formula>
    </cfRule>
    <cfRule type="expression" dxfId="194" priority="41">
      <formula>MONTH(today)=11</formula>
    </cfRule>
    <cfRule type="expression" dxfId="193" priority="42">
      <formula>MONTH(today)&lt;11</formula>
    </cfRule>
  </conditionalFormatting>
  <conditionalFormatting sqref="K34:N35 K37:N42 L36:N36">
    <cfRule type="expression" dxfId="192" priority="37">
      <formula>MONTH(today)&gt;12</formula>
    </cfRule>
    <cfRule type="expression" dxfId="191" priority="38">
      <formula>MONTH(today)=12</formula>
    </cfRule>
    <cfRule type="expression" dxfId="190" priority="39">
      <formula>MONTH(today)&lt;12</formula>
    </cfRule>
  </conditionalFormatting>
  <conditionalFormatting sqref="A6">
    <cfRule type="expression" dxfId="189" priority="34">
      <formula>MONTH(today)&gt;1</formula>
    </cfRule>
    <cfRule type="expression" dxfId="188" priority="35">
      <formula>MONTH(today)=1</formula>
    </cfRule>
    <cfRule type="expression" dxfId="187" priority="36">
      <formula>MONTH(today)&lt;1</formula>
    </cfRule>
  </conditionalFormatting>
  <conditionalFormatting sqref="F6">
    <cfRule type="expression" dxfId="186" priority="31">
      <formula>MONTH(today)&gt;2</formula>
    </cfRule>
    <cfRule type="expression" dxfId="185" priority="32">
      <formula>MONTH(today)=2</formula>
    </cfRule>
    <cfRule type="expression" dxfId="184" priority="33">
      <formula>MONTH(today)&lt;2</formula>
    </cfRule>
  </conditionalFormatting>
  <conditionalFormatting sqref="K6">
    <cfRule type="expression" dxfId="183" priority="28">
      <formula>MONTH(today)&gt;3</formula>
    </cfRule>
    <cfRule type="expression" dxfId="182" priority="29">
      <formula>MONTH(today)=3</formula>
    </cfRule>
    <cfRule type="expression" dxfId="181" priority="30">
      <formula>MONTH(today)&lt;3</formula>
    </cfRule>
  </conditionalFormatting>
  <conditionalFormatting sqref="A16">
    <cfRule type="expression" dxfId="180" priority="25">
      <formula>MONTH(today)&gt;4</formula>
    </cfRule>
    <cfRule type="expression" dxfId="179" priority="26">
      <formula>MONTH(today)=4</formula>
    </cfRule>
    <cfRule type="expression" dxfId="178" priority="27">
      <formula>MONTH(today)&lt;4</formula>
    </cfRule>
  </conditionalFormatting>
  <conditionalFormatting sqref="F16">
    <cfRule type="expression" dxfId="177" priority="22">
      <formula>MONTH(today)&gt;5</formula>
    </cfRule>
    <cfRule type="expression" dxfId="176" priority="23">
      <formula>MONTH(today)=5</formula>
    </cfRule>
    <cfRule type="expression" dxfId="175" priority="24">
      <formula>MONTH(today)&lt;5</formula>
    </cfRule>
  </conditionalFormatting>
  <conditionalFormatting sqref="K16">
    <cfRule type="expression" dxfId="174" priority="19">
      <formula>MONTH(today)&gt;6</formula>
    </cfRule>
    <cfRule type="expression" dxfId="173" priority="20">
      <formula>MONTH(today)=6</formula>
    </cfRule>
    <cfRule type="expression" dxfId="172" priority="21">
      <formula>MONTH(today)&lt;6</formula>
    </cfRule>
  </conditionalFormatting>
  <conditionalFormatting sqref="A26">
    <cfRule type="expression" dxfId="171" priority="16">
      <formula>MONTH(today)&gt;7</formula>
    </cfRule>
    <cfRule type="expression" dxfId="170" priority="17">
      <formula>MONTH(today)=7</formula>
    </cfRule>
    <cfRule type="expression" dxfId="169" priority="18">
      <formula>MONTH(today)&lt;7</formula>
    </cfRule>
  </conditionalFormatting>
  <conditionalFormatting sqref="F26">
    <cfRule type="expression" dxfId="168" priority="13">
      <formula>MONTH(today)&gt;8</formula>
    </cfRule>
    <cfRule type="expression" dxfId="167" priority="14">
      <formula>MONTH(today)=8</formula>
    </cfRule>
    <cfRule type="expression" dxfId="166" priority="15">
      <formula>MONTH(today)&lt;8</formula>
    </cfRule>
  </conditionalFormatting>
  <conditionalFormatting sqref="K26">
    <cfRule type="expression" dxfId="165" priority="10">
      <formula>MONTH(today)&gt;9</formula>
    </cfRule>
    <cfRule type="expression" dxfId="164" priority="11">
      <formula>MONTH(today)=9</formula>
    </cfRule>
    <cfRule type="expression" dxfId="163" priority="12">
      <formula>MONTH(today)&lt;9</formula>
    </cfRule>
  </conditionalFormatting>
  <conditionalFormatting sqref="A36">
    <cfRule type="expression" dxfId="162" priority="7">
      <formula>MONTH(today)&gt;10</formula>
    </cfRule>
    <cfRule type="expression" dxfId="161" priority="8">
      <formula>MONTH(today)=10</formula>
    </cfRule>
    <cfRule type="expression" dxfId="160" priority="9">
      <formula>MONTH(today)&lt;10</formula>
    </cfRule>
  </conditionalFormatting>
  <conditionalFormatting sqref="F36">
    <cfRule type="expression" dxfId="159" priority="4">
      <formula>MONTH(today)&gt;11</formula>
    </cfRule>
    <cfRule type="expression" dxfId="158" priority="5">
      <formula>MONTH(today)=11</formula>
    </cfRule>
    <cfRule type="expression" dxfId="157" priority="6">
      <formula>MONTH(today)&lt;11</formula>
    </cfRule>
  </conditionalFormatting>
  <conditionalFormatting sqref="K36">
    <cfRule type="expression" dxfId="156" priority="1">
      <formula>MONTH(today)&gt;12</formula>
    </cfRule>
    <cfRule type="expression" dxfId="155" priority="2">
      <formula>MONTH(today)=12</formula>
    </cfRule>
    <cfRule type="expression" dxfId="154" priority="3">
      <formula>MONTH(today)&lt;12</formula>
    </cfRule>
  </conditionalFormatting>
  <pageMargins left="0.17" right="0.17" top="0.5" bottom="0.42" header="0.31496062992125984" footer="0.31496062992125984"/>
  <pageSetup paperSize="9" fitToHeight="0" orientation="landscape" r:id="rId1"/>
  <rowBreaks count="1" manualBreakCount="1">
    <brk id="23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N39"/>
  <sheetViews>
    <sheetView showGridLines="0" showRowColHeaders="0" zoomScaleNormal="100" zoomScaleSheetLayoutView="100" workbookViewId="0">
      <selection sqref="A1:N1"/>
    </sheetView>
  </sheetViews>
  <sheetFormatPr defaultRowHeight="18" x14ac:dyDescent="0.25"/>
  <cols>
    <col min="1" max="1" width="11.375" style="53" customWidth="1"/>
    <col min="2" max="13" width="6.625" style="53" customWidth="1"/>
    <col min="14" max="14" width="26.875" style="54" customWidth="1"/>
    <col min="15" max="16384" width="9" style="54"/>
  </cols>
  <sheetData>
    <row r="1" spans="1:14" ht="33.75" customHeight="1" x14ac:dyDescent="0.25">
      <c r="A1" s="165" t="s">
        <v>178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</row>
    <row r="2" spans="1:14" ht="30" customHeight="1" x14ac:dyDescent="0.25">
      <c r="A2" s="62">
        <v>2018</v>
      </c>
      <c r="B2" s="63" t="s">
        <v>153</v>
      </c>
      <c r="C2" s="63" t="s">
        <v>154</v>
      </c>
      <c r="D2" s="63" t="s">
        <v>155</v>
      </c>
      <c r="E2" s="63" t="s">
        <v>156</v>
      </c>
      <c r="F2" s="63" t="s">
        <v>145</v>
      </c>
      <c r="G2" s="63" t="s">
        <v>157</v>
      </c>
      <c r="H2" s="63" t="s">
        <v>158</v>
      </c>
      <c r="I2" s="63" t="s">
        <v>159</v>
      </c>
      <c r="J2" s="63" t="s">
        <v>160</v>
      </c>
      <c r="K2" s="63" t="s">
        <v>161</v>
      </c>
      <c r="L2" s="63" t="s">
        <v>162</v>
      </c>
      <c r="M2" s="63" t="s">
        <v>163</v>
      </c>
      <c r="N2" s="70" t="s">
        <v>166</v>
      </c>
    </row>
    <row r="3" spans="1:14" ht="24.75" customHeight="1" x14ac:dyDescent="0.25">
      <c r="A3" s="63" t="s">
        <v>146</v>
      </c>
      <c r="B3" s="65">
        <v>1</v>
      </c>
      <c r="C3" s="64"/>
      <c r="D3" s="64"/>
      <c r="E3" s="64"/>
      <c r="F3" s="64"/>
      <c r="G3" s="64"/>
      <c r="H3" s="64"/>
      <c r="I3" s="64"/>
      <c r="J3" s="64"/>
      <c r="K3" s="65">
        <v>1</v>
      </c>
      <c r="L3" s="64"/>
      <c r="M3" s="64"/>
      <c r="N3" s="166" t="s">
        <v>74</v>
      </c>
    </row>
    <row r="4" spans="1:14" ht="24.75" customHeight="1" x14ac:dyDescent="0.25">
      <c r="A4" s="63" t="s">
        <v>147</v>
      </c>
      <c r="B4" s="65">
        <v>2</v>
      </c>
      <c r="C4" s="64"/>
      <c r="D4" s="64"/>
      <c r="E4" s="64"/>
      <c r="F4" s="65">
        <v>1</v>
      </c>
      <c r="G4" s="64"/>
      <c r="H4" s="64"/>
      <c r="I4" s="64"/>
      <c r="J4" s="64"/>
      <c r="K4" s="65">
        <v>2</v>
      </c>
      <c r="L4" s="64"/>
      <c r="M4" s="64"/>
      <c r="N4" s="166"/>
    </row>
    <row r="5" spans="1:14" ht="24.75" customHeight="1" x14ac:dyDescent="0.25">
      <c r="A5" s="63" t="s">
        <v>148</v>
      </c>
      <c r="B5" s="65">
        <v>3</v>
      </c>
      <c r="C5" s="64"/>
      <c r="D5" s="64"/>
      <c r="E5" s="64"/>
      <c r="F5" s="65">
        <v>2</v>
      </c>
      <c r="G5" s="64"/>
      <c r="H5" s="64"/>
      <c r="I5" s="65">
        <v>1</v>
      </c>
      <c r="J5" s="64"/>
      <c r="K5" s="65">
        <v>3</v>
      </c>
      <c r="L5" s="64"/>
      <c r="M5" s="64"/>
      <c r="N5" s="166"/>
    </row>
    <row r="6" spans="1:14" ht="24.75" customHeight="1" x14ac:dyDescent="0.25">
      <c r="A6" s="63" t="s">
        <v>149</v>
      </c>
      <c r="B6" s="65">
        <v>4</v>
      </c>
      <c r="C6" s="65">
        <v>1</v>
      </c>
      <c r="D6" s="65">
        <v>1</v>
      </c>
      <c r="E6" s="64"/>
      <c r="F6" s="65">
        <v>3</v>
      </c>
      <c r="G6" s="64"/>
      <c r="H6" s="64"/>
      <c r="I6" s="65">
        <v>2</v>
      </c>
      <c r="J6" s="64"/>
      <c r="K6" s="65">
        <v>4</v>
      </c>
      <c r="L6" s="65">
        <v>1</v>
      </c>
      <c r="M6" s="64"/>
      <c r="N6" s="166"/>
    </row>
    <row r="7" spans="1:14" ht="24.75" customHeight="1" thickBot="1" x14ac:dyDescent="0.3">
      <c r="A7" s="63" t="s">
        <v>150</v>
      </c>
      <c r="B7" s="65">
        <v>5</v>
      </c>
      <c r="C7" s="65">
        <v>2</v>
      </c>
      <c r="D7" s="65">
        <v>2</v>
      </c>
      <c r="E7" s="64"/>
      <c r="F7" s="65">
        <v>4</v>
      </c>
      <c r="G7" s="65">
        <v>1</v>
      </c>
      <c r="H7" s="64"/>
      <c r="I7" s="65">
        <v>3</v>
      </c>
      <c r="J7" s="64"/>
      <c r="K7" s="65">
        <v>5</v>
      </c>
      <c r="L7" s="65">
        <v>2</v>
      </c>
      <c r="M7" s="64"/>
      <c r="N7" s="167"/>
    </row>
    <row r="8" spans="1:14" ht="24.75" customHeight="1" thickTop="1" x14ac:dyDescent="0.25">
      <c r="A8" s="63" t="s">
        <v>151</v>
      </c>
      <c r="B8" s="65">
        <v>6</v>
      </c>
      <c r="C8" s="65">
        <v>3</v>
      </c>
      <c r="D8" s="65">
        <v>3</v>
      </c>
      <c r="E8" s="64"/>
      <c r="F8" s="65">
        <v>5</v>
      </c>
      <c r="G8" s="65">
        <v>2</v>
      </c>
      <c r="H8" s="64"/>
      <c r="I8" s="65">
        <v>4</v>
      </c>
      <c r="J8" s="65">
        <v>1</v>
      </c>
      <c r="K8" s="65">
        <v>6</v>
      </c>
      <c r="L8" s="65">
        <v>3</v>
      </c>
      <c r="M8" s="65">
        <v>1</v>
      </c>
      <c r="N8" s="55" t="s">
        <v>164</v>
      </c>
    </row>
    <row r="9" spans="1:14" ht="24.75" customHeight="1" x14ac:dyDescent="0.25">
      <c r="A9" s="63" t="s">
        <v>152</v>
      </c>
      <c r="B9" s="65">
        <v>7</v>
      </c>
      <c r="C9" s="65">
        <v>4</v>
      </c>
      <c r="D9" s="65">
        <v>4</v>
      </c>
      <c r="E9" s="65">
        <v>1</v>
      </c>
      <c r="F9" s="65">
        <v>6</v>
      </c>
      <c r="G9" s="65">
        <v>3</v>
      </c>
      <c r="H9" s="65">
        <v>1</v>
      </c>
      <c r="I9" s="65">
        <v>5</v>
      </c>
      <c r="J9" s="65">
        <v>2</v>
      </c>
      <c r="K9" s="65">
        <v>7</v>
      </c>
      <c r="L9" s="65">
        <v>4</v>
      </c>
      <c r="M9" s="65">
        <v>2</v>
      </c>
      <c r="N9" s="172">
        <f ca="1">VLOOKUP(category_name,category_stats,3,FALSE)</f>
        <v>0.52096774193548379</v>
      </c>
    </row>
    <row r="10" spans="1:14" ht="24.75" customHeight="1" x14ac:dyDescent="0.25">
      <c r="A10" s="63" t="s">
        <v>146</v>
      </c>
      <c r="B10" s="65">
        <v>8</v>
      </c>
      <c r="C10" s="65">
        <v>5</v>
      </c>
      <c r="D10" s="65">
        <v>5</v>
      </c>
      <c r="E10" s="65">
        <v>2</v>
      </c>
      <c r="F10" s="65">
        <v>7</v>
      </c>
      <c r="G10" s="65">
        <v>4</v>
      </c>
      <c r="H10" s="65">
        <v>2</v>
      </c>
      <c r="I10" s="65">
        <v>6</v>
      </c>
      <c r="J10" s="65">
        <v>3</v>
      </c>
      <c r="K10" s="65">
        <v>8</v>
      </c>
      <c r="L10" s="65">
        <v>5</v>
      </c>
      <c r="M10" s="65">
        <v>3</v>
      </c>
      <c r="N10" s="172"/>
    </row>
    <row r="11" spans="1:14" ht="24.75" customHeight="1" x14ac:dyDescent="0.25">
      <c r="A11" s="63" t="s">
        <v>147</v>
      </c>
      <c r="B11" s="65">
        <v>9</v>
      </c>
      <c r="C11" s="65">
        <v>6</v>
      </c>
      <c r="D11" s="65">
        <v>6</v>
      </c>
      <c r="E11" s="65">
        <v>3</v>
      </c>
      <c r="F11" s="65">
        <v>8</v>
      </c>
      <c r="G11" s="65">
        <v>5</v>
      </c>
      <c r="H11" s="65">
        <v>3</v>
      </c>
      <c r="I11" s="65">
        <v>7</v>
      </c>
      <c r="J11" s="65">
        <v>4</v>
      </c>
      <c r="K11" s="65">
        <v>9</v>
      </c>
      <c r="L11" s="65">
        <v>6</v>
      </c>
      <c r="M11" s="65">
        <v>4</v>
      </c>
      <c r="N11" s="55" t="s">
        <v>138</v>
      </c>
    </row>
    <row r="12" spans="1:14" ht="24.75" customHeight="1" x14ac:dyDescent="0.25">
      <c r="A12" s="63" t="s">
        <v>148</v>
      </c>
      <c r="B12" s="65">
        <v>10</v>
      </c>
      <c r="C12" s="65">
        <v>7</v>
      </c>
      <c r="D12" s="65">
        <v>7</v>
      </c>
      <c r="E12" s="65">
        <v>4</v>
      </c>
      <c r="F12" s="65">
        <v>9</v>
      </c>
      <c r="G12" s="65">
        <v>6</v>
      </c>
      <c r="H12" s="65">
        <v>4</v>
      </c>
      <c r="I12" s="65">
        <v>8</v>
      </c>
      <c r="J12" s="65">
        <v>5</v>
      </c>
      <c r="K12" s="65">
        <v>10</v>
      </c>
      <c r="L12" s="65">
        <v>7</v>
      </c>
      <c r="M12" s="65">
        <v>5</v>
      </c>
      <c r="N12" s="173">
        <f ca="1">VLOOKUP(category_name,category_stats,2,FALSE)</f>
        <v>7</v>
      </c>
    </row>
    <row r="13" spans="1:14" ht="24.75" customHeight="1" x14ac:dyDescent="0.25">
      <c r="A13" s="63" t="s">
        <v>149</v>
      </c>
      <c r="B13" s="65">
        <v>11</v>
      </c>
      <c r="C13" s="65">
        <v>8</v>
      </c>
      <c r="D13" s="65">
        <v>8</v>
      </c>
      <c r="E13" s="65">
        <v>5</v>
      </c>
      <c r="F13" s="65">
        <v>10</v>
      </c>
      <c r="G13" s="65">
        <v>7</v>
      </c>
      <c r="H13" s="65">
        <v>5</v>
      </c>
      <c r="I13" s="65">
        <v>9</v>
      </c>
      <c r="J13" s="65">
        <v>6</v>
      </c>
      <c r="K13" s="65">
        <v>11</v>
      </c>
      <c r="L13" s="65">
        <v>8</v>
      </c>
      <c r="M13" s="65">
        <v>6</v>
      </c>
      <c r="N13" s="173"/>
    </row>
    <row r="14" spans="1:14" ht="24.75" customHeight="1" x14ac:dyDescent="0.25">
      <c r="A14" s="63" t="s">
        <v>150</v>
      </c>
      <c r="B14" s="65">
        <v>12</v>
      </c>
      <c r="C14" s="65">
        <v>9</v>
      </c>
      <c r="D14" s="65">
        <v>9</v>
      </c>
      <c r="E14" s="65">
        <v>6</v>
      </c>
      <c r="F14" s="65">
        <v>11</v>
      </c>
      <c r="G14" s="65">
        <v>8</v>
      </c>
      <c r="H14" s="65">
        <v>6</v>
      </c>
      <c r="I14" s="65">
        <v>10</v>
      </c>
      <c r="J14" s="65">
        <v>7</v>
      </c>
      <c r="K14" s="65">
        <v>12</v>
      </c>
      <c r="L14" s="65">
        <v>9</v>
      </c>
      <c r="M14" s="65">
        <v>7</v>
      </c>
      <c r="N14" s="56" t="str">
        <f t="array" aca="1" ref="N14" ca="1">"активных: "&amp;SUM((DataTable[Окончание]&gt;today)*--(DataTable[Категория]=category_name)*--(DataTable[%]&lt;1))</f>
        <v>активных: 4</v>
      </c>
    </row>
    <row r="15" spans="1:14" ht="24.75" customHeight="1" thickBot="1" x14ac:dyDescent="0.3">
      <c r="A15" s="63" t="s">
        <v>151</v>
      </c>
      <c r="B15" s="65">
        <v>13</v>
      </c>
      <c r="C15" s="65">
        <v>10</v>
      </c>
      <c r="D15" s="65">
        <v>10</v>
      </c>
      <c r="E15" s="65">
        <v>7</v>
      </c>
      <c r="F15" s="65">
        <v>12</v>
      </c>
      <c r="G15" s="65">
        <v>9</v>
      </c>
      <c r="H15" s="65">
        <v>7</v>
      </c>
      <c r="I15" s="65">
        <v>11</v>
      </c>
      <c r="J15" s="65">
        <v>8</v>
      </c>
      <c r="K15" s="65">
        <v>13</v>
      </c>
      <c r="L15" s="65">
        <v>10</v>
      </c>
      <c r="M15" s="65">
        <v>8</v>
      </c>
      <c r="N15" s="61" t="str">
        <f t="array" aca="1" ref="N15" ca="1">"просроченных: "&amp;SUM((DataTable[Окончание]&lt;today)*--(DataTable[Категория]=category_name)*--(DataTable[%]&lt;1))</f>
        <v>просроченных: 0</v>
      </c>
    </row>
    <row r="16" spans="1:14" ht="24.75" customHeight="1" thickTop="1" x14ac:dyDescent="0.25">
      <c r="A16" s="63" t="s">
        <v>152</v>
      </c>
      <c r="B16" s="65">
        <v>14</v>
      </c>
      <c r="C16" s="65">
        <v>11</v>
      </c>
      <c r="D16" s="65">
        <v>11</v>
      </c>
      <c r="E16" s="65">
        <v>8</v>
      </c>
      <c r="F16" s="65">
        <v>13</v>
      </c>
      <c r="G16" s="65">
        <v>10</v>
      </c>
      <c r="H16" s="65">
        <v>8</v>
      </c>
      <c r="I16" s="65">
        <v>12</v>
      </c>
      <c r="J16" s="65">
        <v>9</v>
      </c>
      <c r="K16" s="65">
        <v>14</v>
      </c>
      <c r="L16" s="65">
        <v>11</v>
      </c>
      <c r="M16" s="65">
        <v>9</v>
      </c>
      <c r="N16" s="174" t="s">
        <v>165</v>
      </c>
    </row>
    <row r="17" spans="1:14" ht="24.75" customHeight="1" x14ac:dyDescent="0.25">
      <c r="A17" s="63" t="s">
        <v>146</v>
      </c>
      <c r="B17" s="65">
        <v>15</v>
      </c>
      <c r="C17" s="65">
        <v>12</v>
      </c>
      <c r="D17" s="65">
        <v>12</v>
      </c>
      <c r="E17" s="65">
        <v>9</v>
      </c>
      <c r="F17" s="65">
        <v>14</v>
      </c>
      <c r="G17" s="65">
        <v>11</v>
      </c>
      <c r="H17" s="65">
        <v>9</v>
      </c>
      <c r="I17" s="65">
        <v>13</v>
      </c>
      <c r="J17" s="65">
        <v>10</v>
      </c>
      <c r="K17" s="65">
        <v>15</v>
      </c>
      <c r="L17" s="65">
        <v>12</v>
      </c>
      <c r="M17" s="65">
        <v>10</v>
      </c>
      <c r="N17" s="175"/>
    </row>
    <row r="18" spans="1:14" ht="24.75" customHeight="1" x14ac:dyDescent="0.25">
      <c r="A18" s="63" t="s">
        <v>147</v>
      </c>
      <c r="B18" s="65">
        <v>16</v>
      </c>
      <c r="C18" s="65">
        <v>13</v>
      </c>
      <c r="D18" s="65">
        <v>13</v>
      </c>
      <c r="E18" s="65">
        <v>10</v>
      </c>
      <c r="F18" s="65">
        <v>15</v>
      </c>
      <c r="G18" s="65">
        <v>12</v>
      </c>
      <c r="H18" s="65">
        <v>10</v>
      </c>
      <c r="I18" s="65">
        <v>14</v>
      </c>
      <c r="J18" s="65">
        <v>11</v>
      </c>
      <c r="K18" s="65">
        <v>16</v>
      </c>
      <c r="L18" s="65">
        <v>13</v>
      </c>
      <c r="M18" s="65">
        <v>11</v>
      </c>
      <c r="N18" s="168" t="str">
        <f ca="1">TEXT(VLOOKUP(category_name,category_stats,9,FALSE),"ДД.ММ.ГГГГ")&amp;" "&amp;LEFT(VLOOKUP(category_name,category_stats,4,FALSE),60)&amp;" …"</f>
        <v>30.07.2018 Мониторинг качества управления муниципальными финансами (II  …</v>
      </c>
    </row>
    <row r="19" spans="1:14" ht="24.75" customHeight="1" x14ac:dyDescent="0.25">
      <c r="A19" s="63" t="s">
        <v>148</v>
      </c>
      <c r="B19" s="65">
        <v>17</v>
      </c>
      <c r="C19" s="65">
        <v>14</v>
      </c>
      <c r="D19" s="65">
        <v>14</v>
      </c>
      <c r="E19" s="65">
        <v>11</v>
      </c>
      <c r="F19" s="65">
        <v>16</v>
      </c>
      <c r="G19" s="65">
        <v>13</v>
      </c>
      <c r="H19" s="65">
        <v>11</v>
      </c>
      <c r="I19" s="65">
        <v>15</v>
      </c>
      <c r="J19" s="65">
        <v>12</v>
      </c>
      <c r="K19" s="65">
        <v>17</v>
      </c>
      <c r="L19" s="65">
        <v>14</v>
      </c>
      <c r="M19" s="65">
        <v>12</v>
      </c>
      <c r="N19" s="168"/>
    </row>
    <row r="20" spans="1:14" ht="24.75" customHeight="1" x14ac:dyDescent="0.25">
      <c r="A20" s="63" t="s">
        <v>149</v>
      </c>
      <c r="B20" s="65">
        <v>18</v>
      </c>
      <c r="C20" s="65">
        <v>15</v>
      </c>
      <c r="D20" s="65">
        <v>15</v>
      </c>
      <c r="E20" s="65">
        <v>12</v>
      </c>
      <c r="F20" s="65">
        <v>17</v>
      </c>
      <c r="G20" s="65">
        <v>14</v>
      </c>
      <c r="H20" s="65">
        <v>12</v>
      </c>
      <c r="I20" s="65">
        <v>16</v>
      </c>
      <c r="J20" s="65">
        <v>13</v>
      </c>
      <c r="K20" s="65">
        <v>18</v>
      </c>
      <c r="L20" s="65">
        <v>15</v>
      </c>
      <c r="M20" s="65">
        <v>13</v>
      </c>
      <c r="N20" s="169"/>
    </row>
    <row r="21" spans="1:14" ht="24.75" customHeight="1" x14ac:dyDescent="0.25">
      <c r="A21" s="63" t="s">
        <v>150</v>
      </c>
      <c r="B21" s="65">
        <v>19</v>
      </c>
      <c r="C21" s="65">
        <v>16</v>
      </c>
      <c r="D21" s="65">
        <v>16</v>
      </c>
      <c r="E21" s="65">
        <v>13</v>
      </c>
      <c r="F21" s="65">
        <v>18</v>
      </c>
      <c r="G21" s="65">
        <v>15</v>
      </c>
      <c r="H21" s="65">
        <v>13</v>
      </c>
      <c r="I21" s="65">
        <v>17</v>
      </c>
      <c r="J21" s="65">
        <v>14</v>
      </c>
      <c r="K21" s="65">
        <v>19</v>
      </c>
      <c r="L21" s="65">
        <v>16</v>
      </c>
      <c r="M21" s="65">
        <v>14</v>
      </c>
      <c r="N21" s="168" t="str">
        <f ca="1">TEXT(VLOOKUP(category_name,category_stats,10,FALSE),"ДД.ММ.ГГГГ")&amp;" "&amp;LEFT(VLOOKUP(category_name,category_stats,5,FALSE),60)&amp;" …"</f>
        <v>01.09.2018 Оценка эффективности предоставленных и планируемых к предост …</v>
      </c>
    </row>
    <row r="22" spans="1:14" ht="24.75" customHeight="1" x14ac:dyDescent="0.25">
      <c r="A22" s="63" t="s">
        <v>151</v>
      </c>
      <c r="B22" s="65">
        <v>20</v>
      </c>
      <c r="C22" s="65">
        <v>17</v>
      </c>
      <c r="D22" s="65">
        <v>17</v>
      </c>
      <c r="E22" s="65">
        <v>14</v>
      </c>
      <c r="F22" s="65">
        <v>19</v>
      </c>
      <c r="G22" s="65">
        <v>16</v>
      </c>
      <c r="H22" s="65">
        <v>14</v>
      </c>
      <c r="I22" s="65">
        <v>18</v>
      </c>
      <c r="J22" s="65">
        <v>15</v>
      </c>
      <c r="K22" s="65">
        <v>20</v>
      </c>
      <c r="L22" s="65">
        <v>17</v>
      </c>
      <c r="M22" s="65">
        <v>15</v>
      </c>
      <c r="N22" s="168"/>
    </row>
    <row r="23" spans="1:14" ht="24.75" customHeight="1" x14ac:dyDescent="0.25">
      <c r="A23" s="63" t="s">
        <v>152</v>
      </c>
      <c r="B23" s="65">
        <v>21</v>
      </c>
      <c r="C23" s="65">
        <v>18</v>
      </c>
      <c r="D23" s="65">
        <v>18</v>
      </c>
      <c r="E23" s="65">
        <v>15</v>
      </c>
      <c r="F23" s="65">
        <v>20</v>
      </c>
      <c r="G23" s="65">
        <v>17</v>
      </c>
      <c r="H23" s="65">
        <v>15</v>
      </c>
      <c r="I23" s="65">
        <v>19</v>
      </c>
      <c r="J23" s="65">
        <v>16</v>
      </c>
      <c r="K23" s="65">
        <v>21</v>
      </c>
      <c r="L23" s="65">
        <v>18</v>
      </c>
      <c r="M23" s="65">
        <v>16</v>
      </c>
      <c r="N23" s="169"/>
    </row>
    <row r="24" spans="1:14" ht="24.75" customHeight="1" x14ac:dyDescent="0.25">
      <c r="A24" s="63" t="s">
        <v>146</v>
      </c>
      <c r="B24" s="65">
        <v>22</v>
      </c>
      <c r="C24" s="65">
        <v>19</v>
      </c>
      <c r="D24" s="65">
        <v>19</v>
      </c>
      <c r="E24" s="65">
        <v>16</v>
      </c>
      <c r="F24" s="65">
        <v>21</v>
      </c>
      <c r="G24" s="65">
        <v>18</v>
      </c>
      <c r="H24" s="65">
        <v>16</v>
      </c>
      <c r="I24" s="65">
        <v>20</v>
      </c>
      <c r="J24" s="65">
        <v>17</v>
      </c>
      <c r="K24" s="65">
        <v>22</v>
      </c>
      <c r="L24" s="65">
        <v>19</v>
      </c>
      <c r="M24" s="65">
        <v>17</v>
      </c>
      <c r="N24" s="168" t="str">
        <f ca="1">TEXT(VLOOKUP(category_name,category_stats,11,FALSE),"ДД.ММ.ГГГГ")&amp;" "&amp;LEFT(VLOOKUP(category_name,category_stats,6,FALSE),60)&amp;" …"</f>
        <v>30.10.2018 Мониторинг качества управления муниципальными финансами (III …</v>
      </c>
    </row>
    <row r="25" spans="1:14" ht="24.75" customHeight="1" x14ac:dyDescent="0.25">
      <c r="A25" s="63" t="s">
        <v>147</v>
      </c>
      <c r="B25" s="65">
        <v>23</v>
      </c>
      <c r="C25" s="65">
        <v>20</v>
      </c>
      <c r="D25" s="65">
        <v>20</v>
      </c>
      <c r="E25" s="65">
        <v>17</v>
      </c>
      <c r="F25" s="65">
        <v>22</v>
      </c>
      <c r="G25" s="65">
        <v>19</v>
      </c>
      <c r="H25" s="65">
        <v>17</v>
      </c>
      <c r="I25" s="65">
        <v>21</v>
      </c>
      <c r="J25" s="65">
        <v>18</v>
      </c>
      <c r="K25" s="65">
        <v>23</v>
      </c>
      <c r="L25" s="65">
        <v>20</v>
      </c>
      <c r="M25" s="65">
        <v>18</v>
      </c>
      <c r="N25" s="168"/>
    </row>
    <row r="26" spans="1:14" ht="24.75" customHeight="1" x14ac:dyDescent="0.25">
      <c r="A26" s="63" t="s">
        <v>148</v>
      </c>
      <c r="B26" s="65">
        <v>24</v>
      </c>
      <c r="C26" s="65">
        <v>21</v>
      </c>
      <c r="D26" s="65">
        <v>21</v>
      </c>
      <c r="E26" s="65">
        <v>18</v>
      </c>
      <c r="F26" s="65">
        <v>23</v>
      </c>
      <c r="G26" s="65">
        <v>20</v>
      </c>
      <c r="H26" s="65">
        <v>18</v>
      </c>
      <c r="I26" s="65">
        <v>22</v>
      </c>
      <c r="J26" s="65">
        <v>19</v>
      </c>
      <c r="K26" s="65">
        <v>24</v>
      </c>
      <c r="L26" s="65">
        <v>21</v>
      </c>
      <c r="M26" s="65">
        <v>19</v>
      </c>
      <c r="N26" s="169"/>
    </row>
    <row r="27" spans="1:14" ht="24.75" customHeight="1" x14ac:dyDescent="0.25">
      <c r="A27" s="63" t="s">
        <v>149</v>
      </c>
      <c r="B27" s="65">
        <v>25</v>
      </c>
      <c r="C27" s="65">
        <v>22</v>
      </c>
      <c r="D27" s="65">
        <v>22</v>
      </c>
      <c r="E27" s="65">
        <v>19</v>
      </c>
      <c r="F27" s="65">
        <v>24</v>
      </c>
      <c r="G27" s="65">
        <v>21</v>
      </c>
      <c r="H27" s="65">
        <v>19</v>
      </c>
      <c r="I27" s="65">
        <v>23</v>
      </c>
      <c r="J27" s="65">
        <v>20</v>
      </c>
      <c r="K27" s="65">
        <v>25</v>
      </c>
      <c r="L27" s="65">
        <v>22</v>
      </c>
      <c r="M27" s="65">
        <v>20</v>
      </c>
      <c r="N27" s="168" t="str">
        <f ca="1">TEXT(VLOOKUP(category_name,category_stats,12,FALSE),"ДД.ММ.ГГГГ")&amp;" "&amp;LEFT(VLOOKUP(category_name,category_stats,7,FALSE),60)&amp;" …"</f>
        <v>30.01.2019 Мониторинг качества управления муниципальными финансами (IV  …</v>
      </c>
    </row>
    <row r="28" spans="1:14" ht="24.75" customHeight="1" x14ac:dyDescent="0.25">
      <c r="A28" s="63" t="s">
        <v>150</v>
      </c>
      <c r="B28" s="65">
        <v>26</v>
      </c>
      <c r="C28" s="65">
        <v>23</v>
      </c>
      <c r="D28" s="65">
        <v>23</v>
      </c>
      <c r="E28" s="65">
        <v>20</v>
      </c>
      <c r="F28" s="65">
        <v>25</v>
      </c>
      <c r="G28" s="65">
        <v>22</v>
      </c>
      <c r="H28" s="65">
        <v>20</v>
      </c>
      <c r="I28" s="65">
        <v>24</v>
      </c>
      <c r="J28" s="65">
        <v>21</v>
      </c>
      <c r="K28" s="65">
        <v>26</v>
      </c>
      <c r="L28" s="65">
        <v>23</v>
      </c>
      <c r="M28" s="65">
        <v>21</v>
      </c>
      <c r="N28" s="168"/>
    </row>
    <row r="29" spans="1:14" ht="24.75" customHeight="1" x14ac:dyDescent="0.25">
      <c r="A29" s="63" t="s">
        <v>151</v>
      </c>
      <c r="B29" s="65">
        <v>27</v>
      </c>
      <c r="C29" s="65">
        <v>24</v>
      </c>
      <c r="D29" s="65">
        <v>24</v>
      </c>
      <c r="E29" s="65">
        <v>21</v>
      </c>
      <c r="F29" s="65">
        <v>26</v>
      </c>
      <c r="G29" s="65">
        <v>23</v>
      </c>
      <c r="H29" s="65">
        <v>21</v>
      </c>
      <c r="I29" s="65">
        <v>25</v>
      </c>
      <c r="J29" s="65">
        <v>22</v>
      </c>
      <c r="K29" s="65">
        <v>27</v>
      </c>
      <c r="L29" s="65">
        <v>24</v>
      </c>
      <c r="M29" s="65">
        <v>22</v>
      </c>
      <c r="N29" s="169"/>
    </row>
    <row r="30" spans="1:14" ht="24.75" customHeight="1" x14ac:dyDescent="0.25">
      <c r="A30" s="63" t="s">
        <v>152</v>
      </c>
      <c r="B30" s="65">
        <v>28</v>
      </c>
      <c r="C30" s="65">
        <v>25</v>
      </c>
      <c r="D30" s="65">
        <v>25</v>
      </c>
      <c r="E30" s="65">
        <v>22</v>
      </c>
      <c r="F30" s="65">
        <v>27</v>
      </c>
      <c r="G30" s="65">
        <v>24</v>
      </c>
      <c r="H30" s="65">
        <v>22</v>
      </c>
      <c r="I30" s="65">
        <v>26</v>
      </c>
      <c r="J30" s="65">
        <v>23</v>
      </c>
      <c r="K30" s="65">
        <v>28</v>
      </c>
      <c r="L30" s="65">
        <v>25</v>
      </c>
      <c r="M30" s="65">
        <v>23</v>
      </c>
      <c r="N30" s="171" t="str">
        <f ca="1">TEXT(VLOOKUP(category_name,category_stats,13,FALSE),"ДД.ММ.ГГГГ")&amp;" "&amp;LEFT(VLOOKUP(category_name,category_stats,8,FALSE),60)&amp;" …"</f>
        <v xml:space="preserve">  …</v>
      </c>
    </row>
    <row r="31" spans="1:14" ht="24.75" customHeight="1" x14ac:dyDescent="0.25">
      <c r="A31" s="63" t="s">
        <v>146</v>
      </c>
      <c r="B31" s="65">
        <v>29</v>
      </c>
      <c r="C31" s="65">
        <v>26</v>
      </c>
      <c r="D31" s="65">
        <v>26</v>
      </c>
      <c r="E31" s="65">
        <v>23</v>
      </c>
      <c r="F31" s="65">
        <v>28</v>
      </c>
      <c r="G31" s="65">
        <v>25</v>
      </c>
      <c r="H31" s="65">
        <v>23</v>
      </c>
      <c r="I31" s="65">
        <v>27</v>
      </c>
      <c r="J31" s="65">
        <v>24</v>
      </c>
      <c r="K31" s="65">
        <v>29</v>
      </c>
      <c r="L31" s="65">
        <v>26</v>
      </c>
      <c r="M31" s="65">
        <v>24</v>
      </c>
      <c r="N31" s="171"/>
    </row>
    <row r="32" spans="1:14" ht="24.75" customHeight="1" x14ac:dyDescent="0.25">
      <c r="A32" s="63" t="s">
        <v>147</v>
      </c>
      <c r="B32" s="65">
        <v>30</v>
      </c>
      <c r="C32" s="65">
        <v>27</v>
      </c>
      <c r="D32" s="65">
        <v>27</v>
      </c>
      <c r="E32" s="65">
        <v>24</v>
      </c>
      <c r="F32" s="65">
        <v>29</v>
      </c>
      <c r="G32" s="65">
        <v>26</v>
      </c>
      <c r="H32" s="65">
        <v>24</v>
      </c>
      <c r="I32" s="65">
        <v>28</v>
      </c>
      <c r="J32" s="65">
        <v>25</v>
      </c>
      <c r="K32" s="65">
        <v>30</v>
      </c>
      <c r="L32" s="65">
        <v>27</v>
      </c>
      <c r="M32" s="65">
        <v>25</v>
      </c>
      <c r="N32" s="171"/>
    </row>
    <row r="33" spans="1:14" ht="24.75" customHeight="1" x14ac:dyDescent="0.25">
      <c r="A33" s="63" t="s">
        <v>148</v>
      </c>
      <c r="B33" s="65">
        <v>31</v>
      </c>
      <c r="C33" s="65">
        <v>28</v>
      </c>
      <c r="D33" s="65">
        <v>28</v>
      </c>
      <c r="E33" s="65">
        <v>25</v>
      </c>
      <c r="F33" s="65">
        <v>30</v>
      </c>
      <c r="G33" s="65">
        <v>27</v>
      </c>
      <c r="H33" s="65">
        <v>25</v>
      </c>
      <c r="I33" s="65">
        <v>29</v>
      </c>
      <c r="J33" s="65">
        <v>26</v>
      </c>
      <c r="K33" s="65">
        <v>31</v>
      </c>
      <c r="L33" s="65">
        <v>28</v>
      </c>
      <c r="M33" s="65">
        <v>26</v>
      </c>
      <c r="N33" s="170"/>
    </row>
    <row r="34" spans="1:14" ht="24.75" customHeight="1" x14ac:dyDescent="0.25">
      <c r="A34" s="63" t="s">
        <v>149</v>
      </c>
      <c r="B34" s="64"/>
      <c r="C34" s="64"/>
      <c r="D34" s="65">
        <v>29</v>
      </c>
      <c r="E34" s="65">
        <v>26</v>
      </c>
      <c r="F34" s="65">
        <v>31</v>
      </c>
      <c r="G34" s="65">
        <v>28</v>
      </c>
      <c r="H34" s="65">
        <v>26</v>
      </c>
      <c r="I34" s="65">
        <v>30</v>
      </c>
      <c r="J34" s="65">
        <v>27</v>
      </c>
      <c r="K34" s="64"/>
      <c r="L34" s="65">
        <v>29</v>
      </c>
      <c r="M34" s="65">
        <v>27</v>
      </c>
      <c r="N34" s="170"/>
    </row>
    <row r="35" spans="1:14" ht="24.75" customHeight="1" x14ac:dyDescent="0.25">
      <c r="A35" s="63" t="s">
        <v>150</v>
      </c>
      <c r="B35" s="64"/>
      <c r="C35" s="64"/>
      <c r="D35" s="65">
        <v>30</v>
      </c>
      <c r="E35" s="65">
        <v>27</v>
      </c>
      <c r="F35" s="64"/>
      <c r="G35" s="65">
        <v>29</v>
      </c>
      <c r="H35" s="65">
        <v>27</v>
      </c>
      <c r="I35" s="65">
        <v>31</v>
      </c>
      <c r="J35" s="65">
        <v>28</v>
      </c>
      <c r="K35" s="64"/>
      <c r="L35" s="65">
        <v>30</v>
      </c>
      <c r="M35" s="65">
        <v>28</v>
      </c>
      <c r="N35" s="170"/>
    </row>
    <row r="36" spans="1:14" ht="24.75" customHeight="1" x14ac:dyDescent="0.25">
      <c r="A36" s="63" t="s">
        <v>151</v>
      </c>
      <c r="B36" s="64"/>
      <c r="C36" s="64"/>
      <c r="D36" s="65">
        <v>31</v>
      </c>
      <c r="E36" s="65">
        <v>28</v>
      </c>
      <c r="F36" s="64"/>
      <c r="G36" s="65">
        <v>30</v>
      </c>
      <c r="H36" s="65">
        <v>28</v>
      </c>
      <c r="I36" s="64"/>
      <c r="J36" s="65">
        <v>29</v>
      </c>
      <c r="K36" s="64"/>
      <c r="L36" s="64"/>
      <c r="M36" s="65">
        <v>29</v>
      </c>
      <c r="N36" s="170"/>
    </row>
    <row r="37" spans="1:14" ht="24.75" customHeight="1" x14ac:dyDescent="0.25">
      <c r="A37" s="63" t="s">
        <v>152</v>
      </c>
      <c r="B37" s="64"/>
      <c r="C37" s="64"/>
      <c r="D37" s="64"/>
      <c r="E37" s="65">
        <v>29</v>
      </c>
      <c r="F37" s="64"/>
      <c r="G37" s="64"/>
      <c r="H37" s="65">
        <v>29</v>
      </c>
      <c r="I37" s="64"/>
      <c r="J37" s="65">
        <v>30</v>
      </c>
      <c r="K37" s="64"/>
      <c r="L37" s="64"/>
      <c r="M37" s="65">
        <v>30</v>
      </c>
      <c r="N37" s="170"/>
    </row>
    <row r="38" spans="1:14" ht="24.75" customHeight="1" x14ac:dyDescent="0.25">
      <c r="A38" s="63" t="s">
        <v>146</v>
      </c>
      <c r="B38" s="64"/>
      <c r="C38" s="64"/>
      <c r="D38" s="64"/>
      <c r="E38" s="65">
        <v>30</v>
      </c>
      <c r="F38" s="64"/>
      <c r="G38" s="64"/>
      <c r="H38" s="65">
        <v>30</v>
      </c>
      <c r="I38" s="64"/>
      <c r="J38" s="64"/>
      <c r="K38" s="64"/>
      <c r="L38" s="64"/>
      <c r="M38" s="65">
        <v>31</v>
      </c>
      <c r="N38" s="170"/>
    </row>
    <row r="39" spans="1:14" ht="24.75" customHeight="1" x14ac:dyDescent="0.25">
      <c r="A39" s="66" t="s">
        <v>147</v>
      </c>
      <c r="B39" s="67"/>
      <c r="C39" s="67"/>
      <c r="D39" s="67"/>
      <c r="E39" s="67"/>
      <c r="F39" s="67"/>
      <c r="G39" s="67"/>
      <c r="H39" s="68">
        <v>31</v>
      </c>
      <c r="I39" s="67"/>
      <c r="J39" s="67"/>
      <c r="K39" s="67"/>
      <c r="L39" s="67"/>
      <c r="M39" s="67"/>
      <c r="N39" s="69"/>
    </row>
  </sheetData>
  <sheetProtection password="8424" sheet="1" objects="1" scenarios="1" autoFilter="0"/>
  <mergeCells count="12">
    <mergeCell ref="A1:N1"/>
    <mergeCell ref="N3:N7"/>
    <mergeCell ref="N21:N23"/>
    <mergeCell ref="N33:N35"/>
    <mergeCell ref="N36:N38"/>
    <mergeCell ref="N24:N26"/>
    <mergeCell ref="N30:N32"/>
    <mergeCell ref="N27:N29"/>
    <mergeCell ref="N9:N10"/>
    <mergeCell ref="N12:N13"/>
    <mergeCell ref="N16:N17"/>
    <mergeCell ref="N18:N20"/>
  </mergeCells>
  <conditionalFormatting sqref="N9:N10">
    <cfRule type="dataBar" priority="26">
      <dataBar>
        <cfvo type="min"/>
        <cfvo type="num" val="1"/>
        <color rgb="FF63C384"/>
      </dataBar>
      <extLst>
        <ext xmlns:x14="http://schemas.microsoft.com/office/spreadsheetml/2009/9/main" uri="{B025F937-C7B1-47D3-B67F-A62EFF666E3E}">
          <x14:id>{6EA343D7-C235-461C-AD8B-A3CF39A23D53}</x14:id>
        </ext>
      </extLst>
    </cfRule>
  </conditionalFormatting>
  <conditionalFormatting sqref="B3:B33">
    <cfRule type="expression" dxfId="153" priority="12">
      <formula>DATE(2018,1,B3)=TODAY()</formula>
    </cfRule>
    <cfRule type="expression" dxfId="152" priority="24">
      <formula>SUM(--(EndDates=DATE(2018,COLUMN(B3)-1,B3))*--(category=$N$3))&gt;0</formula>
    </cfRule>
  </conditionalFormatting>
  <conditionalFormatting sqref="C6:C33">
    <cfRule type="expression" dxfId="151" priority="11">
      <formula>DATE(2018,2,C6)=TODAY()</formula>
    </cfRule>
    <cfRule type="expression" dxfId="150" priority="23">
      <formula>SUM(--(EndDates=DATE(2018,COLUMN(C6)-1,C6))*--(category=$N$3))&gt;0</formula>
    </cfRule>
  </conditionalFormatting>
  <conditionalFormatting sqref="D6:D36">
    <cfRule type="expression" dxfId="149" priority="10">
      <formula>DATE(2018,3,D6)=TODAY()</formula>
    </cfRule>
    <cfRule type="expression" dxfId="148" priority="22">
      <formula>SUM(--(EndDates=DATE(2018,COLUMN(D6)-1,D6))*--(category=$N$3))&gt;0</formula>
    </cfRule>
  </conditionalFormatting>
  <conditionalFormatting sqref="E9:E38">
    <cfRule type="expression" dxfId="147" priority="9">
      <formula>DATE(2018,4,E9)=TODAY()</formula>
    </cfRule>
    <cfRule type="expression" dxfId="146" priority="21">
      <formula>SUM(--(EndDates=DATE(2018,COLUMN(E9)-1,E9))*--(category=$N$3))&gt;0</formula>
    </cfRule>
  </conditionalFormatting>
  <conditionalFormatting sqref="F4:F34">
    <cfRule type="expression" dxfId="145" priority="8">
      <formula>DATE(2018,5,F4)=TODAY()</formula>
    </cfRule>
    <cfRule type="expression" dxfId="144" priority="20">
      <formula>SUM(--(EndDates=DATE(2018,COLUMN(F4)-1,F4))*--(category=$N$3))&gt;0</formula>
    </cfRule>
  </conditionalFormatting>
  <conditionalFormatting sqref="G7:G36">
    <cfRule type="expression" dxfId="143" priority="7">
      <formula>DATE(2018,6,G7)=TODAY()</formula>
    </cfRule>
    <cfRule type="expression" dxfId="142" priority="19">
      <formula>SUM(--(EndDates=DATE(2018,COLUMN(G7)-1,G7))*--(category=$N$3))&gt;0</formula>
    </cfRule>
  </conditionalFormatting>
  <conditionalFormatting sqref="H9:H39">
    <cfRule type="expression" dxfId="141" priority="6">
      <formula>DATE(2018,7,H9)=TODAY()</formula>
    </cfRule>
    <cfRule type="expression" dxfId="140" priority="18">
      <formula>SUM(--(EndDates=DATE(2018,COLUMN(H9)-1,H9))*--(category=$N$3))&gt;0</formula>
    </cfRule>
  </conditionalFormatting>
  <conditionalFormatting sqref="I5:I35">
    <cfRule type="expression" dxfId="139" priority="5">
      <formula>DATE(2018,8,I5)=TODAY()</formula>
    </cfRule>
    <cfRule type="expression" dxfId="138" priority="17">
      <formula>SUM(--(EndDates=DATE(2018,COLUMN(I5)-1,I5))*--(category=$N$3))&gt;0</formula>
    </cfRule>
  </conditionalFormatting>
  <conditionalFormatting sqref="J8:J37">
    <cfRule type="expression" dxfId="137" priority="4">
      <formula>DATE(2018,9,J8)=TODAY()</formula>
    </cfRule>
    <cfRule type="expression" dxfId="136" priority="16">
      <formula>SUM(--(EndDates=DATE(2018,COLUMN(J8)-1,J8))*--(category=$N$3))&gt;0</formula>
    </cfRule>
  </conditionalFormatting>
  <conditionalFormatting sqref="K3:K33">
    <cfRule type="expression" dxfId="135" priority="3">
      <formula>DATE(2018,10,K3)=TODAY()</formula>
    </cfRule>
    <cfRule type="expression" dxfId="134" priority="15">
      <formula>SUM(--(EndDates=DATE(2018,COLUMN(K3)-1,K3))*--(category=$N$3))&gt;0</formula>
    </cfRule>
  </conditionalFormatting>
  <conditionalFormatting sqref="L6:L35">
    <cfRule type="expression" dxfId="133" priority="2">
      <formula>DATE(2018,11,L6)=TODAY()</formula>
    </cfRule>
    <cfRule type="expression" dxfId="132" priority="14">
      <formula>SUM(--(EndDates=DATE(2018,COLUMN(L6)-1,L6))*--(category=$N$3))&gt;0</formula>
    </cfRule>
  </conditionalFormatting>
  <conditionalFormatting sqref="M8:M38">
    <cfRule type="expression" dxfId="131" priority="1">
      <formula>DATE(2018,12,M8)=TODAY()</formula>
    </cfRule>
    <cfRule type="expression" dxfId="130" priority="13">
      <formula>SUM(--(EndDates=DATE(2018,COLUMN(M8)-1,M8))*--(category=$N$3))&gt;0</formula>
    </cfRule>
  </conditionalFormatting>
  <dataValidations count="1">
    <dataValidation type="list" allowBlank="1" showInputMessage="1" showErrorMessage="1" sqref="N3:N7">
      <formula1>category_titles</formula1>
    </dataValidation>
  </dataValidations>
  <pageMargins left="0.7" right="0.7" top="0.75" bottom="0.75" header="0.3" footer="0.3"/>
  <pageSetup paperSize="9" scale="68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EA343D7-C235-461C-AD8B-A3CF39A23D53}">
            <x14:dataBar minLength="0" maxLength="100" border="1" negativeBarBorderColorSameAsPositive="0">
              <x14:cfvo type="autoMin"/>
              <x14:cfvo type="num">
                <xm:f>1</xm:f>
              </x14:cfvo>
              <x14:borderColor rgb="FF63C384"/>
              <x14:negativeFillColor rgb="FFFF0000"/>
              <x14:negativeBorderColor rgb="FFFF0000"/>
              <x14:axisColor rgb="FF000000"/>
            </x14:dataBar>
          </x14:cfRule>
          <xm:sqref>N9:N10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N39"/>
  <sheetViews>
    <sheetView showGridLines="0" showRowColHeaders="0" zoomScaleNormal="100" zoomScaleSheetLayoutView="100" workbookViewId="0">
      <selection sqref="A1:N1"/>
    </sheetView>
  </sheetViews>
  <sheetFormatPr defaultRowHeight="18" x14ac:dyDescent="0.25"/>
  <cols>
    <col min="1" max="1" width="11.375" style="139" customWidth="1"/>
    <col min="2" max="13" width="6.625" style="139" customWidth="1"/>
    <col min="14" max="14" width="26.875" style="126" customWidth="1"/>
    <col min="15" max="16384" width="9" style="126"/>
  </cols>
  <sheetData>
    <row r="1" spans="1:14" ht="33.75" customHeight="1" x14ac:dyDescent="0.25">
      <c r="A1" s="176" t="s">
        <v>179</v>
      </c>
      <c r="B1" s="176"/>
      <c r="C1" s="176"/>
      <c r="D1" s="176"/>
      <c r="E1" s="176"/>
      <c r="F1" s="176"/>
      <c r="G1" s="176"/>
      <c r="H1" s="176"/>
      <c r="I1" s="176"/>
      <c r="J1" s="176"/>
      <c r="K1" s="176"/>
      <c r="L1" s="176"/>
      <c r="M1" s="176"/>
      <c r="N1" s="176"/>
    </row>
    <row r="2" spans="1:14" ht="30" customHeight="1" x14ac:dyDescent="0.25">
      <c r="A2" s="127">
        <v>2018</v>
      </c>
      <c r="B2" s="128" t="s">
        <v>153</v>
      </c>
      <c r="C2" s="128" t="s">
        <v>154</v>
      </c>
      <c r="D2" s="128" t="s">
        <v>155</v>
      </c>
      <c r="E2" s="128" t="s">
        <v>156</v>
      </c>
      <c r="F2" s="128" t="s">
        <v>145</v>
      </c>
      <c r="G2" s="128" t="s">
        <v>157</v>
      </c>
      <c r="H2" s="128" t="s">
        <v>158</v>
      </c>
      <c r="I2" s="128" t="s">
        <v>159</v>
      </c>
      <c r="J2" s="128" t="s">
        <v>160</v>
      </c>
      <c r="K2" s="128" t="s">
        <v>161</v>
      </c>
      <c r="L2" s="128" t="s">
        <v>162</v>
      </c>
      <c r="M2" s="128" t="s">
        <v>163</v>
      </c>
      <c r="N2" s="129" t="s">
        <v>174</v>
      </c>
    </row>
    <row r="3" spans="1:14" ht="24.75" customHeight="1" x14ac:dyDescent="0.25">
      <c r="A3" s="128" t="s">
        <v>146</v>
      </c>
      <c r="B3" s="130">
        <v>1</v>
      </c>
      <c r="C3" s="131"/>
      <c r="D3" s="131"/>
      <c r="E3" s="131"/>
      <c r="F3" s="131"/>
      <c r="G3" s="131"/>
      <c r="H3" s="131"/>
      <c r="I3" s="131"/>
      <c r="J3" s="131"/>
      <c r="K3" s="130">
        <v>1</v>
      </c>
      <c r="L3" s="131"/>
      <c r="M3" s="131"/>
      <c r="N3" s="181" t="s">
        <v>180</v>
      </c>
    </row>
    <row r="4" spans="1:14" ht="24.75" customHeight="1" x14ac:dyDescent="0.25">
      <c r="A4" s="128" t="s">
        <v>147</v>
      </c>
      <c r="B4" s="130">
        <v>2</v>
      </c>
      <c r="C4" s="131"/>
      <c r="D4" s="131"/>
      <c r="E4" s="131"/>
      <c r="F4" s="130">
        <v>1</v>
      </c>
      <c r="G4" s="131"/>
      <c r="H4" s="131"/>
      <c r="I4" s="131"/>
      <c r="J4" s="131"/>
      <c r="K4" s="130">
        <v>2</v>
      </c>
      <c r="L4" s="131"/>
      <c r="M4" s="131"/>
      <c r="N4" s="181"/>
    </row>
    <row r="5" spans="1:14" ht="24.75" customHeight="1" x14ac:dyDescent="0.25">
      <c r="A5" s="128" t="s">
        <v>148</v>
      </c>
      <c r="B5" s="130">
        <v>3</v>
      </c>
      <c r="C5" s="131"/>
      <c r="D5" s="131"/>
      <c r="E5" s="131"/>
      <c r="F5" s="130">
        <v>2</v>
      </c>
      <c r="G5" s="131"/>
      <c r="H5" s="131"/>
      <c r="I5" s="130">
        <v>1</v>
      </c>
      <c r="J5" s="131"/>
      <c r="K5" s="130">
        <v>3</v>
      </c>
      <c r="L5" s="131"/>
      <c r="M5" s="131"/>
      <c r="N5" s="181"/>
    </row>
    <row r="6" spans="1:14" ht="24.75" customHeight="1" x14ac:dyDescent="0.25">
      <c r="A6" s="128" t="s">
        <v>149</v>
      </c>
      <c r="B6" s="130">
        <v>4</v>
      </c>
      <c r="C6" s="130">
        <v>1</v>
      </c>
      <c r="D6" s="130">
        <v>1</v>
      </c>
      <c r="E6" s="131"/>
      <c r="F6" s="130">
        <v>3</v>
      </c>
      <c r="G6" s="131"/>
      <c r="H6" s="131"/>
      <c r="I6" s="130">
        <v>2</v>
      </c>
      <c r="J6" s="131"/>
      <c r="K6" s="130">
        <v>4</v>
      </c>
      <c r="L6" s="130">
        <v>1</v>
      </c>
      <c r="M6" s="131"/>
      <c r="N6" s="181"/>
    </row>
    <row r="7" spans="1:14" ht="24.75" customHeight="1" thickBot="1" x14ac:dyDescent="0.3">
      <c r="A7" s="128" t="s">
        <v>150</v>
      </c>
      <c r="B7" s="130">
        <v>5</v>
      </c>
      <c r="C7" s="130">
        <v>2</v>
      </c>
      <c r="D7" s="130">
        <v>2</v>
      </c>
      <c r="E7" s="131"/>
      <c r="F7" s="130">
        <v>4</v>
      </c>
      <c r="G7" s="130">
        <v>1</v>
      </c>
      <c r="H7" s="131"/>
      <c r="I7" s="130">
        <v>3</v>
      </c>
      <c r="J7" s="131"/>
      <c r="K7" s="130">
        <v>5</v>
      </c>
      <c r="L7" s="130">
        <v>2</v>
      </c>
      <c r="M7" s="131"/>
      <c r="N7" s="182"/>
    </row>
    <row r="8" spans="1:14" ht="24.75" customHeight="1" thickTop="1" x14ac:dyDescent="0.25">
      <c r="A8" s="128" t="s">
        <v>151</v>
      </c>
      <c r="B8" s="130">
        <v>6</v>
      </c>
      <c r="C8" s="130">
        <v>3</v>
      </c>
      <c r="D8" s="130">
        <v>3</v>
      </c>
      <c r="E8" s="131"/>
      <c r="F8" s="130">
        <v>5</v>
      </c>
      <c r="G8" s="130">
        <v>2</v>
      </c>
      <c r="H8" s="131"/>
      <c r="I8" s="130">
        <v>4</v>
      </c>
      <c r="J8" s="130">
        <v>1</v>
      </c>
      <c r="K8" s="130">
        <v>6</v>
      </c>
      <c r="L8" s="130">
        <v>3</v>
      </c>
      <c r="M8" s="130">
        <v>1</v>
      </c>
      <c r="N8" s="132" t="s">
        <v>175</v>
      </c>
    </row>
    <row r="9" spans="1:14" ht="24.75" customHeight="1" x14ac:dyDescent="0.25">
      <c r="A9" s="128" t="s">
        <v>152</v>
      </c>
      <c r="B9" s="130">
        <v>7</v>
      </c>
      <c r="C9" s="130">
        <v>4</v>
      </c>
      <c r="D9" s="130">
        <v>4</v>
      </c>
      <c r="E9" s="130">
        <v>1</v>
      </c>
      <c r="F9" s="130">
        <v>6</v>
      </c>
      <c r="G9" s="130">
        <v>3</v>
      </c>
      <c r="H9" s="130">
        <v>1</v>
      </c>
      <c r="I9" s="130">
        <v>5</v>
      </c>
      <c r="J9" s="130">
        <v>2</v>
      </c>
      <c r="K9" s="130">
        <v>7</v>
      </c>
      <c r="L9" s="130">
        <v>4</v>
      </c>
      <c r="M9" s="130">
        <v>2</v>
      </c>
      <c r="N9" s="183">
        <f ca="1">VLOOKUP(NPA_name,NPA_stats,3,FALSE)</f>
        <v>6.0052910052910052E-2</v>
      </c>
    </row>
    <row r="10" spans="1:14" ht="24.75" customHeight="1" x14ac:dyDescent="0.25">
      <c r="A10" s="128" t="s">
        <v>146</v>
      </c>
      <c r="B10" s="130">
        <v>8</v>
      </c>
      <c r="C10" s="130">
        <v>5</v>
      </c>
      <c r="D10" s="130">
        <v>5</v>
      </c>
      <c r="E10" s="130">
        <v>2</v>
      </c>
      <c r="F10" s="130">
        <v>7</v>
      </c>
      <c r="G10" s="130">
        <v>4</v>
      </c>
      <c r="H10" s="130">
        <v>2</v>
      </c>
      <c r="I10" s="130">
        <v>6</v>
      </c>
      <c r="J10" s="130">
        <v>3</v>
      </c>
      <c r="K10" s="130">
        <v>8</v>
      </c>
      <c r="L10" s="130">
        <v>5</v>
      </c>
      <c r="M10" s="130">
        <v>3</v>
      </c>
      <c r="N10" s="183"/>
    </row>
    <row r="11" spans="1:14" ht="24.75" customHeight="1" x14ac:dyDescent="0.25">
      <c r="A11" s="128" t="s">
        <v>147</v>
      </c>
      <c r="B11" s="130">
        <v>9</v>
      </c>
      <c r="C11" s="130">
        <v>6</v>
      </c>
      <c r="D11" s="130">
        <v>6</v>
      </c>
      <c r="E11" s="130">
        <v>3</v>
      </c>
      <c r="F11" s="130">
        <v>8</v>
      </c>
      <c r="G11" s="130">
        <v>5</v>
      </c>
      <c r="H11" s="130">
        <v>3</v>
      </c>
      <c r="I11" s="130">
        <v>7</v>
      </c>
      <c r="J11" s="130">
        <v>4</v>
      </c>
      <c r="K11" s="130">
        <v>9</v>
      </c>
      <c r="L11" s="130">
        <v>6</v>
      </c>
      <c r="M11" s="130">
        <v>4</v>
      </c>
      <c r="N11" s="132" t="s">
        <v>138</v>
      </c>
    </row>
    <row r="12" spans="1:14" ht="24.75" customHeight="1" x14ac:dyDescent="0.25">
      <c r="A12" s="128" t="s">
        <v>148</v>
      </c>
      <c r="B12" s="130">
        <v>10</v>
      </c>
      <c r="C12" s="130">
        <v>7</v>
      </c>
      <c r="D12" s="130">
        <v>7</v>
      </c>
      <c r="E12" s="130">
        <v>4</v>
      </c>
      <c r="F12" s="130">
        <v>9</v>
      </c>
      <c r="G12" s="130">
        <v>6</v>
      </c>
      <c r="H12" s="130">
        <v>4</v>
      </c>
      <c r="I12" s="130">
        <v>8</v>
      </c>
      <c r="J12" s="130">
        <v>5</v>
      </c>
      <c r="K12" s="130">
        <v>10</v>
      </c>
      <c r="L12" s="130">
        <v>7</v>
      </c>
      <c r="M12" s="130">
        <v>5</v>
      </c>
      <c r="N12" s="184">
        <f ca="1">VLOOKUP(NPA_name,NPA_stats,2,FALSE)</f>
        <v>49</v>
      </c>
    </row>
    <row r="13" spans="1:14" ht="24.75" customHeight="1" x14ac:dyDescent="0.25">
      <c r="A13" s="128" t="s">
        <v>149</v>
      </c>
      <c r="B13" s="130">
        <v>11</v>
      </c>
      <c r="C13" s="130">
        <v>8</v>
      </c>
      <c r="D13" s="130">
        <v>8</v>
      </c>
      <c r="E13" s="130">
        <v>5</v>
      </c>
      <c r="F13" s="130">
        <v>10</v>
      </c>
      <c r="G13" s="130">
        <v>7</v>
      </c>
      <c r="H13" s="130">
        <v>5</v>
      </c>
      <c r="I13" s="130">
        <v>9</v>
      </c>
      <c r="J13" s="130">
        <v>6</v>
      </c>
      <c r="K13" s="130">
        <v>11</v>
      </c>
      <c r="L13" s="130">
        <v>8</v>
      </c>
      <c r="M13" s="130">
        <v>6</v>
      </c>
      <c r="N13" s="184"/>
    </row>
    <row r="14" spans="1:14" ht="24.75" customHeight="1" x14ac:dyDescent="0.25">
      <c r="A14" s="128" t="s">
        <v>150</v>
      </c>
      <c r="B14" s="130">
        <v>12</v>
      </c>
      <c r="C14" s="130">
        <v>9</v>
      </c>
      <c r="D14" s="130">
        <v>9</v>
      </c>
      <c r="E14" s="130">
        <v>6</v>
      </c>
      <c r="F14" s="130">
        <v>11</v>
      </c>
      <c r="G14" s="130">
        <v>8</v>
      </c>
      <c r="H14" s="130">
        <v>6</v>
      </c>
      <c r="I14" s="130">
        <v>10</v>
      </c>
      <c r="J14" s="130">
        <v>7</v>
      </c>
      <c r="K14" s="130">
        <v>12</v>
      </c>
      <c r="L14" s="130">
        <v>9</v>
      </c>
      <c r="M14" s="130">
        <v>7</v>
      </c>
      <c r="N14" s="133" t="str">
        <f t="array" aca="1" ref="N14" ca="1">"активных: "&amp;SUM((DataTable[Окончание]&gt;today)*--(DataTable[Основание (НПА)]=NPA_name)*--(DataTable[%]&lt;1))</f>
        <v>активных: 46</v>
      </c>
    </row>
    <row r="15" spans="1:14" ht="24.75" customHeight="1" thickBot="1" x14ac:dyDescent="0.3">
      <c r="A15" s="128" t="s">
        <v>151</v>
      </c>
      <c r="B15" s="130">
        <v>13</v>
      </c>
      <c r="C15" s="130">
        <v>10</v>
      </c>
      <c r="D15" s="130">
        <v>10</v>
      </c>
      <c r="E15" s="130">
        <v>7</v>
      </c>
      <c r="F15" s="130">
        <v>12</v>
      </c>
      <c r="G15" s="130">
        <v>9</v>
      </c>
      <c r="H15" s="130">
        <v>7</v>
      </c>
      <c r="I15" s="130">
        <v>11</v>
      </c>
      <c r="J15" s="130">
        <v>8</v>
      </c>
      <c r="K15" s="130">
        <v>13</v>
      </c>
      <c r="L15" s="130">
        <v>10</v>
      </c>
      <c r="M15" s="130">
        <v>8</v>
      </c>
      <c r="N15" s="134" t="str">
        <f t="array" aca="1" ref="N15" ca="1">"просроченных: "&amp;SUM((DataTable[Окончание]&lt;today)*--(DataTable[Основание (НПА)]=NPA_name)*--(DataTable[%]&lt;1))</f>
        <v>просроченных: 0</v>
      </c>
    </row>
    <row r="16" spans="1:14" ht="24.75" customHeight="1" thickTop="1" x14ac:dyDescent="0.25">
      <c r="A16" s="128" t="s">
        <v>152</v>
      </c>
      <c r="B16" s="130">
        <v>14</v>
      </c>
      <c r="C16" s="130">
        <v>11</v>
      </c>
      <c r="D16" s="130">
        <v>11</v>
      </c>
      <c r="E16" s="130">
        <v>8</v>
      </c>
      <c r="F16" s="130">
        <v>13</v>
      </c>
      <c r="G16" s="130">
        <v>10</v>
      </c>
      <c r="H16" s="130">
        <v>8</v>
      </c>
      <c r="I16" s="130">
        <v>12</v>
      </c>
      <c r="J16" s="130">
        <v>9</v>
      </c>
      <c r="K16" s="130">
        <v>14</v>
      </c>
      <c r="L16" s="130">
        <v>11</v>
      </c>
      <c r="M16" s="130">
        <v>9</v>
      </c>
      <c r="N16" s="185" t="s">
        <v>165</v>
      </c>
    </row>
    <row r="17" spans="1:14" ht="24.75" customHeight="1" x14ac:dyDescent="0.25">
      <c r="A17" s="128" t="s">
        <v>146</v>
      </c>
      <c r="B17" s="130">
        <v>15</v>
      </c>
      <c r="C17" s="130">
        <v>12</v>
      </c>
      <c r="D17" s="130">
        <v>12</v>
      </c>
      <c r="E17" s="130">
        <v>9</v>
      </c>
      <c r="F17" s="130">
        <v>14</v>
      </c>
      <c r="G17" s="130">
        <v>11</v>
      </c>
      <c r="H17" s="130">
        <v>9</v>
      </c>
      <c r="I17" s="130">
        <v>13</v>
      </c>
      <c r="J17" s="130">
        <v>10</v>
      </c>
      <c r="K17" s="130">
        <v>15</v>
      </c>
      <c r="L17" s="130">
        <v>12</v>
      </c>
      <c r="M17" s="130">
        <v>10</v>
      </c>
      <c r="N17" s="186"/>
    </row>
    <row r="18" spans="1:14" ht="24.75" customHeight="1" x14ac:dyDescent="0.25">
      <c r="A18" s="128" t="s">
        <v>147</v>
      </c>
      <c r="B18" s="130">
        <v>16</v>
      </c>
      <c r="C18" s="130">
        <v>13</v>
      </c>
      <c r="D18" s="130">
        <v>13</v>
      </c>
      <c r="E18" s="130">
        <v>10</v>
      </c>
      <c r="F18" s="130">
        <v>15</v>
      </c>
      <c r="G18" s="130">
        <v>12</v>
      </c>
      <c r="H18" s="130">
        <v>10</v>
      </c>
      <c r="I18" s="130">
        <v>14</v>
      </c>
      <c r="J18" s="130">
        <v>11</v>
      </c>
      <c r="K18" s="130">
        <v>16</v>
      </c>
      <c r="L18" s="130">
        <v>13</v>
      </c>
      <c r="M18" s="130">
        <v>11</v>
      </c>
      <c r="N18" s="177" t="str">
        <f ca="1">TEXT(VLOOKUP(NPA_name,NPA_stats,9,FALSE),"ДД.ММ.ГГГГ")&amp;" "&amp;LEFT(VLOOKUP(NPA_name,NPA_stats,4,FALSE),60)&amp;" …"</f>
        <v>06.07.2018 Обоснования и расчеты бюджетных ассигнований на 2019 – 2021  …</v>
      </c>
    </row>
    <row r="19" spans="1:14" ht="24.75" customHeight="1" x14ac:dyDescent="0.25">
      <c r="A19" s="128" t="s">
        <v>148</v>
      </c>
      <c r="B19" s="130">
        <v>17</v>
      </c>
      <c r="C19" s="130">
        <v>14</v>
      </c>
      <c r="D19" s="130">
        <v>14</v>
      </c>
      <c r="E19" s="130">
        <v>11</v>
      </c>
      <c r="F19" s="130">
        <v>16</v>
      </c>
      <c r="G19" s="130">
        <v>13</v>
      </c>
      <c r="H19" s="130">
        <v>11</v>
      </c>
      <c r="I19" s="130">
        <v>15</v>
      </c>
      <c r="J19" s="130">
        <v>12</v>
      </c>
      <c r="K19" s="130">
        <v>17</v>
      </c>
      <c r="L19" s="130">
        <v>14</v>
      </c>
      <c r="M19" s="130">
        <v>12</v>
      </c>
      <c r="N19" s="177"/>
    </row>
    <row r="20" spans="1:14" ht="24.75" customHeight="1" x14ac:dyDescent="0.25">
      <c r="A20" s="128" t="s">
        <v>149</v>
      </c>
      <c r="B20" s="130">
        <v>18</v>
      </c>
      <c r="C20" s="130">
        <v>15</v>
      </c>
      <c r="D20" s="130">
        <v>15</v>
      </c>
      <c r="E20" s="130">
        <v>12</v>
      </c>
      <c r="F20" s="130">
        <v>17</v>
      </c>
      <c r="G20" s="130">
        <v>14</v>
      </c>
      <c r="H20" s="130">
        <v>12</v>
      </c>
      <c r="I20" s="130">
        <v>16</v>
      </c>
      <c r="J20" s="130">
        <v>13</v>
      </c>
      <c r="K20" s="130">
        <v>18</v>
      </c>
      <c r="L20" s="130">
        <v>15</v>
      </c>
      <c r="M20" s="130">
        <v>13</v>
      </c>
      <c r="N20" s="178"/>
    </row>
    <row r="21" spans="1:14" ht="24.75" customHeight="1" x14ac:dyDescent="0.25">
      <c r="A21" s="128" t="s">
        <v>150</v>
      </c>
      <c r="B21" s="130">
        <v>19</v>
      </c>
      <c r="C21" s="130">
        <v>16</v>
      </c>
      <c r="D21" s="130">
        <v>16</v>
      </c>
      <c r="E21" s="130">
        <v>13</v>
      </c>
      <c r="F21" s="130">
        <v>18</v>
      </c>
      <c r="G21" s="130">
        <v>15</v>
      </c>
      <c r="H21" s="130">
        <v>13</v>
      </c>
      <c r="I21" s="130">
        <v>17</v>
      </c>
      <c r="J21" s="130">
        <v>14</v>
      </c>
      <c r="K21" s="130">
        <v>19</v>
      </c>
      <c r="L21" s="130">
        <v>16</v>
      </c>
      <c r="M21" s="130">
        <v>14</v>
      </c>
      <c r="N21" s="177" t="str">
        <f ca="1">TEXT(VLOOKUP(NPA_name,NPA_stats,10,FALSE),"ДД.ММ.ГГГГ")&amp;" "&amp;LEFT(VLOOKUP(NPA_name,NPA_stats,5,FALSE),60)&amp;" …"</f>
        <v>12.07.2018 Фактический фонд оплаты труда работающих за 2017 год, оценка …</v>
      </c>
    </row>
    <row r="22" spans="1:14" ht="24.75" customHeight="1" x14ac:dyDescent="0.25">
      <c r="A22" s="128" t="s">
        <v>151</v>
      </c>
      <c r="B22" s="130">
        <v>20</v>
      </c>
      <c r="C22" s="130">
        <v>17</v>
      </c>
      <c r="D22" s="130">
        <v>17</v>
      </c>
      <c r="E22" s="130">
        <v>14</v>
      </c>
      <c r="F22" s="130">
        <v>19</v>
      </c>
      <c r="G22" s="130">
        <v>16</v>
      </c>
      <c r="H22" s="130">
        <v>14</v>
      </c>
      <c r="I22" s="130">
        <v>18</v>
      </c>
      <c r="J22" s="130">
        <v>15</v>
      </c>
      <c r="K22" s="130">
        <v>20</v>
      </c>
      <c r="L22" s="130">
        <v>17</v>
      </c>
      <c r="M22" s="130">
        <v>15</v>
      </c>
      <c r="N22" s="177"/>
    </row>
    <row r="23" spans="1:14" ht="24.75" customHeight="1" x14ac:dyDescent="0.25">
      <c r="A23" s="128" t="s">
        <v>152</v>
      </c>
      <c r="B23" s="130">
        <v>21</v>
      </c>
      <c r="C23" s="130">
        <v>18</v>
      </c>
      <c r="D23" s="130">
        <v>18</v>
      </c>
      <c r="E23" s="130">
        <v>15</v>
      </c>
      <c r="F23" s="130">
        <v>20</v>
      </c>
      <c r="G23" s="130">
        <v>17</v>
      </c>
      <c r="H23" s="130">
        <v>15</v>
      </c>
      <c r="I23" s="130">
        <v>19</v>
      </c>
      <c r="J23" s="130">
        <v>16</v>
      </c>
      <c r="K23" s="130">
        <v>21</v>
      </c>
      <c r="L23" s="130">
        <v>18</v>
      </c>
      <c r="M23" s="130">
        <v>16</v>
      </c>
      <c r="N23" s="178"/>
    </row>
    <row r="24" spans="1:14" ht="24.75" customHeight="1" x14ac:dyDescent="0.25">
      <c r="A24" s="128" t="s">
        <v>146</v>
      </c>
      <c r="B24" s="130">
        <v>22</v>
      </c>
      <c r="C24" s="130">
        <v>19</v>
      </c>
      <c r="D24" s="130">
        <v>19</v>
      </c>
      <c r="E24" s="130">
        <v>16</v>
      </c>
      <c r="F24" s="130">
        <v>21</v>
      </c>
      <c r="G24" s="130">
        <v>18</v>
      </c>
      <c r="H24" s="130">
        <v>16</v>
      </c>
      <c r="I24" s="130">
        <v>20</v>
      </c>
      <c r="J24" s="130">
        <v>17</v>
      </c>
      <c r="K24" s="130">
        <v>22</v>
      </c>
      <c r="L24" s="130">
        <v>19</v>
      </c>
      <c r="M24" s="130">
        <v>17</v>
      </c>
      <c r="N24" s="177" t="str">
        <f ca="1">TEXT(VLOOKUP(NPA_name,NPA_stats,11,FALSE),"ДД.ММ.ГГГГ")&amp;" "&amp;LEFT(VLOOKUP(NPA_name,NPA_stats,6,FALSE),60)&amp;" …"</f>
        <v>12.07.2018 Данные о фактической прибыли прибыльных предприятий за 2017  …</v>
      </c>
    </row>
    <row r="25" spans="1:14" ht="24.75" customHeight="1" x14ac:dyDescent="0.25">
      <c r="A25" s="128" t="s">
        <v>147</v>
      </c>
      <c r="B25" s="130">
        <v>23</v>
      </c>
      <c r="C25" s="130">
        <v>20</v>
      </c>
      <c r="D25" s="130">
        <v>20</v>
      </c>
      <c r="E25" s="130">
        <v>17</v>
      </c>
      <c r="F25" s="130">
        <v>22</v>
      </c>
      <c r="G25" s="130">
        <v>19</v>
      </c>
      <c r="H25" s="130">
        <v>17</v>
      </c>
      <c r="I25" s="130">
        <v>21</v>
      </c>
      <c r="J25" s="130">
        <v>18</v>
      </c>
      <c r="K25" s="130">
        <v>23</v>
      </c>
      <c r="L25" s="130">
        <v>20</v>
      </c>
      <c r="M25" s="130">
        <v>18</v>
      </c>
      <c r="N25" s="177"/>
    </row>
    <row r="26" spans="1:14" ht="24.75" customHeight="1" x14ac:dyDescent="0.25">
      <c r="A26" s="128" t="s">
        <v>148</v>
      </c>
      <c r="B26" s="130">
        <v>24</v>
      </c>
      <c r="C26" s="130">
        <v>21</v>
      </c>
      <c r="D26" s="130">
        <v>21</v>
      </c>
      <c r="E26" s="130">
        <v>18</v>
      </c>
      <c r="F26" s="130">
        <v>23</v>
      </c>
      <c r="G26" s="130">
        <v>20</v>
      </c>
      <c r="H26" s="130">
        <v>18</v>
      </c>
      <c r="I26" s="130">
        <v>22</v>
      </c>
      <c r="J26" s="130">
        <v>19</v>
      </c>
      <c r="K26" s="130">
        <v>24</v>
      </c>
      <c r="L26" s="130">
        <v>21</v>
      </c>
      <c r="M26" s="130">
        <v>19</v>
      </c>
      <c r="N26" s="178"/>
    </row>
    <row r="27" spans="1:14" ht="24.75" customHeight="1" x14ac:dyDescent="0.25">
      <c r="A27" s="128" t="s">
        <v>149</v>
      </c>
      <c r="B27" s="130">
        <v>25</v>
      </c>
      <c r="C27" s="130">
        <v>22</v>
      </c>
      <c r="D27" s="130">
        <v>22</v>
      </c>
      <c r="E27" s="130">
        <v>19</v>
      </c>
      <c r="F27" s="130">
        <v>24</v>
      </c>
      <c r="G27" s="130">
        <v>21</v>
      </c>
      <c r="H27" s="130">
        <v>19</v>
      </c>
      <c r="I27" s="130">
        <v>23</v>
      </c>
      <c r="J27" s="130">
        <v>20</v>
      </c>
      <c r="K27" s="130">
        <v>25</v>
      </c>
      <c r="L27" s="130">
        <v>22</v>
      </c>
      <c r="M27" s="130">
        <v>20</v>
      </c>
      <c r="N27" s="177" t="str">
        <f ca="1">TEXT(VLOOKUP(NPA_name,NPA_stats,12,FALSE),"ДД.ММ.ГГГГ")&amp;" "&amp;LEFT(VLOOKUP(NPA_name,NPA_stats,7,FALSE),60)&amp;" …"</f>
        <v>12.07.2018 Сведения о стоимости основных фондов на 1 января 2018 года и …</v>
      </c>
    </row>
    <row r="28" spans="1:14" ht="24.75" customHeight="1" x14ac:dyDescent="0.25">
      <c r="A28" s="128" t="s">
        <v>150</v>
      </c>
      <c r="B28" s="130">
        <v>26</v>
      </c>
      <c r="C28" s="130">
        <v>23</v>
      </c>
      <c r="D28" s="130">
        <v>23</v>
      </c>
      <c r="E28" s="130">
        <v>20</v>
      </c>
      <c r="F28" s="130">
        <v>25</v>
      </c>
      <c r="G28" s="130">
        <v>22</v>
      </c>
      <c r="H28" s="130">
        <v>20</v>
      </c>
      <c r="I28" s="130">
        <v>24</v>
      </c>
      <c r="J28" s="130">
        <v>21</v>
      </c>
      <c r="K28" s="130">
        <v>26</v>
      </c>
      <c r="L28" s="130">
        <v>23</v>
      </c>
      <c r="M28" s="130">
        <v>21</v>
      </c>
      <c r="N28" s="177"/>
    </row>
    <row r="29" spans="1:14" ht="24.75" customHeight="1" x14ac:dyDescent="0.25">
      <c r="A29" s="128" t="s">
        <v>151</v>
      </c>
      <c r="B29" s="130">
        <v>27</v>
      </c>
      <c r="C29" s="130">
        <v>24</v>
      </c>
      <c r="D29" s="130">
        <v>24</v>
      </c>
      <c r="E29" s="130">
        <v>21</v>
      </c>
      <c r="F29" s="130">
        <v>26</v>
      </c>
      <c r="G29" s="130">
        <v>23</v>
      </c>
      <c r="H29" s="130">
        <v>21</v>
      </c>
      <c r="I29" s="130">
        <v>25</v>
      </c>
      <c r="J29" s="130">
        <v>22</v>
      </c>
      <c r="K29" s="130">
        <v>27</v>
      </c>
      <c r="L29" s="130">
        <v>24</v>
      </c>
      <c r="M29" s="130">
        <v>22</v>
      </c>
      <c r="N29" s="178"/>
    </row>
    <row r="30" spans="1:14" ht="24.75" customHeight="1" x14ac:dyDescent="0.25">
      <c r="A30" s="128" t="s">
        <v>152</v>
      </c>
      <c r="B30" s="130">
        <v>28</v>
      </c>
      <c r="C30" s="130">
        <v>25</v>
      </c>
      <c r="D30" s="130">
        <v>25</v>
      </c>
      <c r="E30" s="130">
        <v>22</v>
      </c>
      <c r="F30" s="130">
        <v>27</v>
      </c>
      <c r="G30" s="130">
        <v>24</v>
      </c>
      <c r="H30" s="130">
        <v>22</v>
      </c>
      <c r="I30" s="130">
        <v>26</v>
      </c>
      <c r="J30" s="130">
        <v>23</v>
      </c>
      <c r="K30" s="130">
        <v>28</v>
      </c>
      <c r="L30" s="130">
        <v>25</v>
      </c>
      <c r="M30" s="130">
        <v>23</v>
      </c>
      <c r="N30" s="179" t="str">
        <f ca="1">TEXT(VLOOKUP(NPA_name,NPA_stats,13,FALSE),"ДД.ММ.ГГГГ")&amp;" "&amp;LEFT(VLOOKUP(NPA_name,NPA_stats,8,FALSE),60)&amp;" …"</f>
        <v>12.07.2018 Данные о наличии жилищного фонда в муниципальной собственнос …</v>
      </c>
    </row>
    <row r="31" spans="1:14" ht="24.75" customHeight="1" x14ac:dyDescent="0.25">
      <c r="A31" s="128" t="s">
        <v>146</v>
      </c>
      <c r="B31" s="130">
        <v>29</v>
      </c>
      <c r="C31" s="130">
        <v>26</v>
      </c>
      <c r="D31" s="130">
        <v>26</v>
      </c>
      <c r="E31" s="130">
        <v>23</v>
      </c>
      <c r="F31" s="130">
        <v>28</v>
      </c>
      <c r="G31" s="130">
        <v>25</v>
      </c>
      <c r="H31" s="130">
        <v>23</v>
      </c>
      <c r="I31" s="130">
        <v>27</v>
      </c>
      <c r="J31" s="130">
        <v>24</v>
      </c>
      <c r="K31" s="130">
        <v>29</v>
      </c>
      <c r="L31" s="130">
        <v>26</v>
      </c>
      <c r="M31" s="130">
        <v>24</v>
      </c>
      <c r="N31" s="179"/>
    </row>
    <row r="32" spans="1:14" ht="24.75" customHeight="1" x14ac:dyDescent="0.25">
      <c r="A32" s="128" t="s">
        <v>147</v>
      </c>
      <c r="B32" s="130">
        <v>30</v>
      </c>
      <c r="C32" s="130">
        <v>27</v>
      </c>
      <c r="D32" s="130">
        <v>27</v>
      </c>
      <c r="E32" s="130">
        <v>24</v>
      </c>
      <c r="F32" s="130">
        <v>29</v>
      </c>
      <c r="G32" s="130">
        <v>26</v>
      </c>
      <c r="H32" s="130">
        <v>24</v>
      </c>
      <c r="I32" s="130">
        <v>28</v>
      </c>
      <c r="J32" s="130">
        <v>25</v>
      </c>
      <c r="K32" s="130">
        <v>30</v>
      </c>
      <c r="L32" s="130">
        <v>27</v>
      </c>
      <c r="M32" s="130">
        <v>25</v>
      </c>
      <c r="N32" s="179"/>
    </row>
    <row r="33" spans="1:14" ht="24.75" customHeight="1" x14ac:dyDescent="0.25">
      <c r="A33" s="128" t="s">
        <v>148</v>
      </c>
      <c r="B33" s="130">
        <v>31</v>
      </c>
      <c r="C33" s="130">
        <v>28</v>
      </c>
      <c r="D33" s="130">
        <v>28</v>
      </c>
      <c r="E33" s="130">
        <v>25</v>
      </c>
      <c r="F33" s="130">
        <v>30</v>
      </c>
      <c r="G33" s="130">
        <v>27</v>
      </c>
      <c r="H33" s="130">
        <v>25</v>
      </c>
      <c r="I33" s="130">
        <v>29</v>
      </c>
      <c r="J33" s="130">
        <v>26</v>
      </c>
      <c r="K33" s="130">
        <v>31</v>
      </c>
      <c r="L33" s="130">
        <v>28</v>
      </c>
      <c r="M33" s="130">
        <v>26</v>
      </c>
      <c r="N33" s="180"/>
    </row>
    <row r="34" spans="1:14" ht="24.75" customHeight="1" x14ac:dyDescent="0.25">
      <c r="A34" s="128" t="s">
        <v>149</v>
      </c>
      <c r="B34" s="131"/>
      <c r="C34" s="131"/>
      <c r="D34" s="130">
        <v>29</v>
      </c>
      <c r="E34" s="130">
        <v>26</v>
      </c>
      <c r="F34" s="130">
        <v>31</v>
      </c>
      <c r="G34" s="130">
        <v>28</v>
      </c>
      <c r="H34" s="130">
        <v>26</v>
      </c>
      <c r="I34" s="130">
        <v>30</v>
      </c>
      <c r="J34" s="130">
        <v>27</v>
      </c>
      <c r="K34" s="131"/>
      <c r="L34" s="130">
        <v>29</v>
      </c>
      <c r="M34" s="130">
        <v>27</v>
      </c>
      <c r="N34" s="180"/>
    </row>
    <row r="35" spans="1:14" ht="24.75" customHeight="1" x14ac:dyDescent="0.25">
      <c r="A35" s="128" t="s">
        <v>150</v>
      </c>
      <c r="B35" s="131"/>
      <c r="C35" s="131"/>
      <c r="D35" s="130">
        <v>30</v>
      </c>
      <c r="E35" s="130">
        <v>27</v>
      </c>
      <c r="F35" s="131"/>
      <c r="G35" s="130">
        <v>29</v>
      </c>
      <c r="H35" s="130">
        <v>27</v>
      </c>
      <c r="I35" s="130">
        <v>31</v>
      </c>
      <c r="J35" s="130">
        <v>28</v>
      </c>
      <c r="K35" s="131"/>
      <c r="L35" s="130">
        <v>30</v>
      </c>
      <c r="M35" s="130">
        <v>28</v>
      </c>
      <c r="N35" s="180"/>
    </row>
    <row r="36" spans="1:14" ht="24.75" customHeight="1" x14ac:dyDescent="0.25">
      <c r="A36" s="128" t="s">
        <v>151</v>
      </c>
      <c r="B36" s="131"/>
      <c r="C36" s="131"/>
      <c r="D36" s="130">
        <v>31</v>
      </c>
      <c r="E36" s="130">
        <v>28</v>
      </c>
      <c r="F36" s="131"/>
      <c r="G36" s="130">
        <v>30</v>
      </c>
      <c r="H36" s="130">
        <v>28</v>
      </c>
      <c r="I36" s="131"/>
      <c r="J36" s="130">
        <v>29</v>
      </c>
      <c r="K36" s="131"/>
      <c r="L36" s="131"/>
      <c r="M36" s="130">
        <v>29</v>
      </c>
      <c r="N36" s="180"/>
    </row>
    <row r="37" spans="1:14" ht="24.75" customHeight="1" x14ac:dyDescent="0.25">
      <c r="A37" s="128" t="s">
        <v>152</v>
      </c>
      <c r="B37" s="131"/>
      <c r="C37" s="131"/>
      <c r="D37" s="131"/>
      <c r="E37" s="130">
        <v>29</v>
      </c>
      <c r="F37" s="131"/>
      <c r="G37" s="131"/>
      <c r="H37" s="130">
        <v>29</v>
      </c>
      <c r="I37" s="131"/>
      <c r="J37" s="130">
        <v>30</v>
      </c>
      <c r="K37" s="131"/>
      <c r="L37" s="131"/>
      <c r="M37" s="130">
        <v>30</v>
      </c>
      <c r="N37" s="180"/>
    </row>
    <row r="38" spans="1:14" ht="24.75" customHeight="1" x14ac:dyDescent="0.25">
      <c r="A38" s="128" t="s">
        <v>146</v>
      </c>
      <c r="B38" s="131"/>
      <c r="C38" s="131"/>
      <c r="D38" s="131"/>
      <c r="E38" s="130">
        <v>30</v>
      </c>
      <c r="F38" s="131"/>
      <c r="G38" s="131"/>
      <c r="H38" s="130">
        <v>30</v>
      </c>
      <c r="I38" s="131"/>
      <c r="J38" s="131"/>
      <c r="K38" s="131"/>
      <c r="L38" s="131"/>
      <c r="M38" s="130">
        <v>31</v>
      </c>
      <c r="N38" s="180"/>
    </row>
    <row r="39" spans="1:14" ht="24.75" customHeight="1" x14ac:dyDescent="0.25">
      <c r="A39" s="135" t="s">
        <v>147</v>
      </c>
      <c r="B39" s="136"/>
      <c r="C39" s="136"/>
      <c r="D39" s="136"/>
      <c r="E39" s="136"/>
      <c r="F39" s="136"/>
      <c r="G39" s="136"/>
      <c r="H39" s="137">
        <v>31</v>
      </c>
      <c r="I39" s="136"/>
      <c r="J39" s="136"/>
      <c r="K39" s="136"/>
      <c r="L39" s="136"/>
      <c r="M39" s="136"/>
      <c r="N39" s="138"/>
    </row>
  </sheetData>
  <sheetProtection password="8424" sheet="1" objects="1" scenarios="1" autoFilter="0"/>
  <mergeCells count="12">
    <mergeCell ref="N36:N38"/>
    <mergeCell ref="N21:N23"/>
    <mergeCell ref="N3:N7"/>
    <mergeCell ref="N9:N10"/>
    <mergeCell ref="N12:N13"/>
    <mergeCell ref="N16:N17"/>
    <mergeCell ref="N18:N20"/>
    <mergeCell ref="A1:N1"/>
    <mergeCell ref="N24:N26"/>
    <mergeCell ref="N27:N29"/>
    <mergeCell ref="N30:N32"/>
    <mergeCell ref="N33:N35"/>
  </mergeCells>
  <conditionalFormatting sqref="N9:N10">
    <cfRule type="dataBar" priority="25">
      <dataBar>
        <cfvo type="min"/>
        <cfvo type="num" val="1"/>
        <color rgb="FF63C384"/>
      </dataBar>
      <extLst>
        <ext xmlns:x14="http://schemas.microsoft.com/office/spreadsheetml/2009/9/main" uri="{B025F937-C7B1-47D3-B67F-A62EFF666E3E}">
          <x14:id>{AB6EA52E-A0DF-48B8-94F0-28A22CBB5434}</x14:id>
        </ext>
      </extLst>
    </cfRule>
  </conditionalFormatting>
  <conditionalFormatting sqref="B3:B33">
    <cfRule type="expression" dxfId="129" priority="12">
      <formula>DATE(2018,1,B3)=TODAY()</formula>
    </cfRule>
    <cfRule type="expression" dxfId="128" priority="24">
      <formula>SUM(--(EndDates=DATE(2018,COLUMN(B3)-1,B3))*--(NPA=$N$3))&gt;0</formula>
    </cfRule>
  </conditionalFormatting>
  <conditionalFormatting sqref="C6:C33">
    <cfRule type="expression" dxfId="127" priority="11">
      <formula>DATE(2018,2,C6)=TODAY()</formula>
    </cfRule>
    <cfRule type="expression" dxfId="126" priority="23">
      <formula>SUM(--(EndDates=DATE(2018,COLUMN(C6)-1,C6))*--(NPA=$N$3))&gt;0</formula>
    </cfRule>
  </conditionalFormatting>
  <conditionalFormatting sqref="D6:D36">
    <cfRule type="expression" dxfId="125" priority="10">
      <formula>DATE(2018,3,D6)=TODAY()</formula>
    </cfRule>
    <cfRule type="expression" dxfId="124" priority="22">
      <formula>SUM(--(EndDates=DATE(2018,COLUMN(D6)-1,D6))*--(NPA=$N$3))&gt;0</formula>
    </cfRule>
  </conditionalFormatting>
  <conditionalFormatting sqref="E9:E38">
    <cfRule type="expression" dxfId="123" priority="9">
      <formula>DATE(2018,4,E9)=TODAY()</formula>
    </cfRule>
    <cfRule type="expression" dxfId="122" priority="21">
      <formula>SUM(--(EndDates=DATE(2018,COLUMN(E9)-1,E9))*--(NPA=$N$3))&gt;0</formula>
    </cfRule>
  </conditionalFormatting>
  <conditionalFormatting sqref="F4:F34">
    <cfRule type="expression" dxfId="121" priority="8">
      <formula>DATE(2018,5,F4)=TODAY()</formula>
    </cfRule>
    <cfRule type="expression" dxfId="120" priority="20">
      <formula>SUM(--(EndDates=DATE(2018,COLUMN(F4)-1,F4))*--(NPA=$N$3))&gt;0</formula>
    </cfRule>
  </conditionalFormatting>
  <conditionalFormatting sqref="G7:G36">
    <cfRule type="expression" dxfId="119" priority="7">
      <formula>DATE(2018,6,G7)=TODAY()</formula>
    </cfRule>
    <cfRule type="expression" dxfId="118" priority="19">
      <formula>SUM(--(EndDates=DATE(2018,COLUMN(G7)-1,G7))*--(NPA=$N$3))&gt;0</formula>
    </cfRule>
  </conditionalFormatting>
  <conditionalFormatting sqref="H9:H39">
    <cfRule type="expression" dxfId="117" priority="6">
      <formula>DATE(2018,7,H9)=TODAY()</formula>
    </cfRule>
    <cfRule type="expression" dxfId="116" priority="18">
      <formula>SUM(--(EndDates=DATE(2018,COLUMN(H9)-1,H9))*--(NPA=$N$3))&gt;0</formula>
    </cfRule>
  </conditionalFormatting>
  <conditionalFormatting sqref="I5:I35">
    <cfRule type="expression" dxfId="115" priority="5">
      <formula>DATE(2018,8,I5)=TODAY()</formula>
    </cfRule>
    <cfRule type="expression" dxfId="114" priority="17">
      <formula>SUM(--(EndDates=DATE(2018,COLUMN(I5)-1,I5))*--(NPA=$N$3))&gt;0</formula>
    </cfRule>
  </conditionalFormatting>
  <conditionalFormatting sqref="J8:J37">
    <cfRule type="expression" dxfId="113" priority="4">
      <formula>DATE(2018,9,J8)=TODAY()</formula>
    </cfRule>
    <cfRule type="expression" dxfId="112" priority="16">
      <formula>SUM(--(EndDates=DATE(2018,COLUMN(J8)-1,J8))*--(NPA=$N$3))&gt;0</formula>
    </cfRule>
  </conditionalFormatting>
  <conditionalFormatting sqref="K3:K33">
    <cfRule type="expression" dxfId="111" priority="3">
      <formula>DATE(2018,10,K3)=TODAY()</formula>
    </cfRule>
    <cfRule type="expression" dxfId="110" priority="15">
      <formula>SUM(--(EndDates=DATE(2018,COLUMN(K3)-1,K3))*--(NPA=$N$3))&gt;0</formula>
    </cfRule>
  </conditionalFormatting>
  <conditionalFormatting sqref="L6:L35">
    <cfRule type="expression" dxfId="109" priority="2">
      <formula>DATE(2018,11,L6)=TODAY()</formula>
    </cfRule>
    <cfRule type="expression" dxfId="108" priority="14">
      <formula>SUM(--(EndDates=DATE(2018,COLUMN(L6)-1,L6))*--(NPA=$N$3))&gt;0</formula>
    </cfRule>
  </conditionalFormatting>
  <conditionalFormatting sqref="M8:M38">
    <cfRule type="expression" dxfId="107" priority="1">
      <formula>DATE(2018,12,M8)=TODAY()</formula>
    </cfRule>
    <cfRule type="expression" dxfId="106" priority="13">
      <formula>SUM(--(EndDates=DATE(2018,COLUMN(M8)-1,M8))*--(NPA=$N$3))&gt;0</formula>
    </cfRule>
  </conditionalFormatting>
  <pageMargins left="0.7" right="0.7" top="0.75" bottom="0.75" header="0.3" footer="0.3"/>
  <pageSetup paperSize="9" scale="68" fitToHeight="0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B6EA52E-A0DF-48B8-94F0-28A22CBB5434}">
            <x14:dataBar minLength="0" maxLength="100" border="1" negativeBarBorderColorSameAsPositive="0">
              <x14:cfvo type="autoMin"/>
              <x14:cfvo type="num">
                <xm:f>1</xm:f>
              </x14:cfvo>
              <x14:borderColor rgb="FF63C384"/>
              <x14:negativeFillColor rgb="FFFF0000"/>
              <x14:negativeBorderColor rgb="FFFF0000"/>
              <x14:axisColor rgb="FF000000"/>
            </x14:dataBar>
          </x14:cfRule>
          <xm:sqref>N9:N10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control!$R$2:$R$14</xm:f>
          </x14:formula1>
          <xm:sqref>N3:N7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T178"/>
  <sheetViews>
    <sheetView showGridLines="0" showRowColHeaders="0" zoomScaleNormal="100" workbookViewId="0">
      <selection sqref="A1:Q1"/>
    </sheetView>
  </sheetViews>
  <sheetFormatPr defaultRowHeight="18" x14ac:dyDescent="0.35"/>
  <cols>
    <col min="1" max="6" width="9" style="140"/>
    <col min="7" max="7" width="1.875" style="140" customWidth="1"/>
    <col min="8" max="8" width="9" style="140"/>
    <col min="9" max="9" width="1.125" style="140" customWidth="1"/>
    <col min="10" max="10" width="9" style="140"/>
    <col min="11" max="11" width="1.875" style="140" customWidth="1"/>
    <col min="12" max="19" width="9" style="140"/>
    <col min="20" max="20" width="10.375" style="140" bestFit="1" customWidth="1"/>
    <col min="21" max="16384" width="9" style="140"/>
  </cols>
  <sheetData>
    <row r="1" spans="1:17" ht="47.25" customHeight="1" x14ac:dyDescent="0.35">
      <c r="A1" s="191" t="s">
        <v>177</v>
      </c>
      <c r="B1" s="192"/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</row>
    <row r="2" spans="1:17" x14ac:dyDescent="0.35">
      <c r="A2" s="193"/>
      <c r="B2" s="193"/>
      <c r="C2" s="193"/>
      <c r="D2" s="193"/>
      <c r="E2" s="193"/>
      <c r="F2" s="193"/>
      <c r="G2" s="141"/>
      <c r="K2" s="142"/>
      <c r="L2" s="187" t="str">
        <f ca="1">IFERROR(IF(LEN(VLOOKUP($H5,control!$AF$2:$AG$65536,2,FALSE))&gt;300,LEFT(VLOOKUP($H5,control!$AF$2:$AG$65536,2,FALSE),300)&amp;" …",VLOOKUP($H5,control!$AF$2:$AG$65536,2,FALSE)),"")</f>
        <v>Прогноз индексов роста потребительских цен на 2017 год, на 2018 год и на плановый период 2019 и 2020 годов</v>
      </c>
      <c r="M2" s="187"/>
      <c r="N2" s="187"/>
      <c r="O2" s="187"/>
      <c r="P2" s="187"/>
      <c r="Q2" s="187"/>
    </row>
    <row r="3" spans="1:17" x14ac:dyDescent="0.35">
      <c r="A3" s="193"/>
      <c r="B3" s="193"/>
      <c r="C3" s="193"/>
      <c r="D3" s="193"/>
      <c r="E3" s="193"/>
      <c r="F3" s="193"/>
      <c r="G3" s="141"/>
      <c r="K3" s="142"/>
      <c r="L3" s="187"/>
      <c r="M3" s="187"/>
      <c r="N3" s="187"/>
      <c r="O3" s="187"/>
      <c r="P3" s="187"/>
      <c r="Q3" s="187"/>
    </row>
    <row r="4" spans="1:17" x14ac:dyDescent="0.35">
      <c r="A4" s="193"/>
      <c r="B4" s="193"/>
      <c r="C4" s="193"/>
      <c r="D4" s="193"/>
      <c r="E4" s="193"/>
      <c r="F4" s="193"/>
      <c r="G4" s="141"/>
      <c r="K4" s="142"/>
      <c r="L4" s="187"/>
      <c r="M4" s="187"/>
      <c r="N4" s="187"/>
      <c r="O4" s="187"/>
      <c r="P4" s="187"/>
      <c r="Q4" s="187"/>
    </row>
    <row r="5" spans="1:17" x14ac:dyDescent="0.35">
      <c r="A5" s="193"/>
      <c r="B5" s="193"/>
      <c r="C5" s="193"/>
      <c r="D5" s="193"/>
      <c r="E5" s="193"/>
      <c r="F5" s="193"/>
      <c r="G5" s="141"/>
      <c r="H5" s="188">
        <f ca="1">IF(COUNT(dates_end_nearest)&gt;=H8,SMALL(dates_end_nearest,H8),"")</f>
        <v>43281</v>
      </c>
      <c r="I5" s="188"/>
      <c r="J5" s="188"/>
      <c r="K5" s="142"/>
      <c r="L5" s="187"/>
      <c r="M5" s="187"/>
      <c r="N5" s="187"/>
      <c r="O5" s="187"/>
      <c r="P5" s="187"/>
      <c r="Q5" s="187"/>
    </row>
    <row r="6" spans="1:17" x14ac:dyDescent="0.35">
      <c r="A6" s="193"/>
      <c r="B6" s="193"/>
      <c r="C6" s="193"/>
      <c r="D6" s="193"/>
      <c r="E6" s="193"/>
      <c r="F6" s="193"/>
      <c r="G6" s="141"/>
      <c r="H6" s="188"/>
      <c r="I6" s="188"/>
      <c r="J6" s="188"/>
      <c r="K6" s="142"/>
      <c r="L6" s="187"/>
      <c r="M6" s="187"/>
      <c r="N6" s="187"/>
      <c r="O6" s="187"/>
      <c r="P6" s="187"/>
      <c r="Q6" s="187"/>
    </row>
    <row r="7" spans="1:17" x14ac:dyDescent="0.35">
      <c r="A7" s="193"/>
      <c r="B7" s="193"/>
      <c r="C7" s="193"/>
      <c r="D7" s="193"/>
      <c r="E7" s="193"/>
      <c r="F7" s="193"/>
      <c r="G7" s="141"/>
      <c r="H7" s="188"/>
      <c r="I7" s="188"/>
      <c r="J7" s="188"/>
      <c r="K7" s="142"/>
      <c r="L7" s="187"/>
      <c r="M7" s="187"/>
      <c r="N7" s="187"/>
      <c r="O7" s="187"/>
      <c r="P7" s="187"/>
      <c r="Q7" s="187"/>
    </row>
    <row r="8" spans="1:17" ht="18" customHeight="1" x14ac:dyDescent="0.35">
      <c r="A8" s="190" t="str">
        <f ca="1">IFERROR(IF(LEN(VLOOKUP($H11,control!$AF$2:$AG$65536,2,FALSE))&gt;300,LEFT(VLOOKUP($H11,control!$AF$2:$AG$65536,2,FALSE),300)&amp;" …",VLOOKUP($H11,control!$AF$2:$AG$65536,2,FALSE)),"")</f>
        <v>Данные о фактической прибыли прибыльных предприятий за 2016 год, оценка прибыли прибыльных предприятий на 2017 год и ее прогноз на 2018 – 2020 годы в разрезе муниципальных образований (городских округов, муниципальных районов)</v>
      </c>
      <c r="B8" s="190"/>
      <c r="C8" s="190"/>
      <c r="D8" s="190"/>
      <c r="E8" s="190"/>
      <c r="F8" s="190"/>
      <c r="G8" s="141"/>
      <c r="H8" s="143">
        <v>1</v>
      </c>
      <c r="I8" s="189"/>
      <c r="J8" s="143"/>
      <c r="K8" s="142"/>
      <c r="L8" s="187"/>
      <c r="M8" s="187"/>
      <c r="N8" s="187"/>
      <c r="O8" s="187"/>
      <c r="P8" s="187"/>
      <c r="Q8" s="187"/>
    </row>
    <row r="9" spans="1:17" x14ac:dyDescent="0.35">
      <c r="A9" s="190"/>
      <c r="B9" s="190"/>
      <c r="C9" s="190"/>
      <c r="D9" s="190"/>
      <c r="E9" s="190"/>
      <c r="F9" s="190"/>
      <c r="G9" s="141"/>
      <c r="H9" s="143"/>
      <c r="I9" s="189"/>
      <c r="J9" s="143"/>
      <c r="K9" s="142"/>
      <c r="L9" s="187"/>
      <c r="M9" s="187"/>
      <c r="N9" s="187"/>
      <c r="O9" s="187"/>
      <c r="P9" s="187"/>
      <c r="Q9" s="187"/>
    </row>
    <row r="10" spans="1:17" x14ac:dyDescent="0.35">
      <c r="A10" s="190"/>
      <c r="B10" s="190"/>
      <c r="C10" s="190"/>
      <c r="D10" s="190"/>
      <c r="E10" s="190"/>
      <c r="F10" s="190"/>
      <c r="G10" s="141"/>
      <c r="H10" s="143"/>
      <c r="I10" s="189"/>
      <c r="J10" s="143"/>
      <c r="K10" s="142"/>
      <c r="L10" s="187"/>
      <c r="M10" s="187"/>
      <c r="N10" s="187"/>
      <c r="O10" s="187"/>
      <c r="P10" s="187"/>
      <c r="Q10" s="187"/>
    </row>
    <row r="11" spans="1:17" ht="15.75" customHeight="1" x14ac:dyDescent="0.35">
      <c r="A11" s="190"/>
      <c r="B11" s="190"/>
      <c r="C11" s="190"/>
      <c r="D11" s="190"/>
      <c r="E11" s="190"/>
      <c r="F11" s="190"/>
      <c r="G11" s="141"/>
      <c r="H11" s="188">
        <f ca="1">IF(COUNT(dates_end_nearest)&gt;=H14,SMALL(dates_end_nearest,H14),"")</f>
        <v>43295</v>
      </c>
      <c r="I11" s="188"/>
      <c r="J11" s="188"/>
      <c r="K11" s="142"/>
      <c r="L11" s="193"/>
      <c r="M11" s="193"/>
      <c r="N11" s="193"/>
      <c r="O11" s="193"/>
      <c r="P11" s="193"/>
      <c r="Q11" s="193"/>
    </row>
    <row r="12" spans="1:17" ht="15.75" customHeight="1" x14ac:dyDescent="0.35">
      <c r="A12" s="190"/>
      <c r="B12" s="190"/>
      <c r="C12" s="190"/>
      <c r="D12" s="190"/>
      <c r="E12" s="190"/>
      <c r="F12" s="190"/>
      <c r="G12" s="141"/>
      <c r="H12" s="188"/>
      <c r="I12" s="188"/>
      <c r="J12" s="188"/>
      <c r="K12" s="142"/>
      <c r="L12" s="193"/>
      <c r="M12" s="193"/>
      <c r="N12" s="193"/>
      <c r="O12" s="193"/>
      <c r="P12" s="193"/>
      <c r="Q12" s="193"/>
    </row>
    <row r="13" spans="1:17" ht="15.75" customHeight="1" x14ac:dyDescent="0.35">
      <c r="A13" s="190"/>
      <c r="B13" s="190"/>
      <c r="C13" s="190"/>
      <c r="D13" s="190"/>
      <c r="E13" s="190"/>
      <c r="F13" s="190"/>
      <c r="G13" s="141"/>
      <c r="H13" s="188"/>
      <c r="I13" s="188"/>
      <c r="J13" s="188"/>
      <c r="K13" s="142"/>
      <c r="L13" s="193"/>
      <c r="M13" s="193"/>
      <c r="N13" s="193"/>
      <c r="O13" s="193"/>
      <c r="P13" s="193"/>
      <c r="Q13" s="193"/>
    </row>
    <row r="14" spans="1:17" ht="18" customHeight="1" x14ac:dyDescent="0.35">
      <c r="A14" s="190"/>
      <c r="B14" s="190"/>
      <c r="C14" s="190"/>
      <c r="D14" s="190"/>
      <c r="E14" s="190"/>
      <c r="F14" s="190"/>
      <c r="G14" s="141"/>
      <c r="H14" s="143">
        <f>H8+1</f>
        <v>2</v>
      </c>
      <c r="I14" s="189"/>
      <c r="J14" s="143"/>
      <c r="K14" s="142"/>
      <c r="L14" s="187" t="str">
        <f ca="1">IFERROR(IF(LEN(VLOOKUP($H17,control!$AF$2:$AG$65536,2,FALSE))&gt;300,LEFT(VLOOKUP($H17,control!$AF$2:$AG$65536,2,FALSE),300)&amp;" …",VLOOKUP($H17,control!$AF$2:$AG$65536,2,FALSE)),"")</f>
        <v>Предложения о возврате бюджетных кредитов (бюджетных ссуд), предоставленных сельским товаропроизводителям на обеспечение машиностроительной продукцией на основе договоров финансовой аренды (лизинга), полученным по программе «Инженерно-техническое обеспечение АПК Брянской области на 2001 – 2005 годы»</v>
      </c>
      <c r="M14" s="187"/>
      <c r="N14" s="187"/>
      <c r="O14" s="187"/>
      <c r="P14" s="187"/>
      <c r="Q14" s="187"/>
    </row>
    <row r="15" spans="1:17" x14ac:dyDescent="0.35">
      <c r="A15" s="190"/>
      <c r="B15" s="190"/>
      <c r="C15" s="190"/>
      <c r="D15" s="190"/>
      <c r="E15" s="190"/>
      <c r="F15" s="190"/>
      <c r="G15" s="141"/>
      <c r="H15" s="143"/>
      <c r="I15" s="189"/>
      <c r="J15" s="143"/>
      <c r="K15" s="142"/>
      <c r="L15" s="187"/>
      <c r="M15" s="187"/>
      <c r="N15" s="187"/>
      <c r="O15" s="187"/>
      <c r="P15" s="187"/>
      <c r="Q15" s="187"/>
    </row>
    <row r="16" spans="1:17" x14ac:dyDescent="0.35">
      <c r="A16" s="190"/>
      <c r="B16" s="190"/>
      <c r="C16" s="190"/>
      <c r="D16" s="190"/>
      <c r="E16" s="190"/>
      <c r="F16" s="190"/>
      <c r="G16" s="141"/>
      <c r="H16" s="143"/>
      <c r="I16" s="189"/>
      <c r="J16" s="143"/>
      <c r="K16" s="142"/>
      <c r="L16" s="187"/>
      <c r="M16" s="187"/>
      <c r="N16" s="187"/>
      <c r="O16" s="187"/>
      <c r="P16" s="187"/>
      <c r="Q16" s="187"/>
    </row>
    <row r="17" spans="1:17" ht="15.75" customHeight="1" x14ac:dyDescent="0.35">
      <c r="A17" s="193"/>
      <c r="B17" s="193"/>
      <c r="C17" s="193"/>
      <c r="D17" s="193"/>
      <c r="E17" s="193"/>
      <c r="F17" s="193"/>
      <c r="G17" s="141"/>
      <c r="H17" s="188">
        <f ca="1">IF(COUNT(dates_end_nearest)&gt;=H20,SMALL(dates_end_nearest,H20),"")</f>
        <v>43298</v>
      </c>
      <c r="I17" s="188"/>
      <c r="J17" s="188"/>
      <c r="K17" s="142"/>
      <c r="L17" s="187"/>
      <c r="M17" s="187"/>
      <c r="N17" s="187"/>
      <c r="O17" s="187"/>
      <c r="P17" s="187"/>
      <c r="Q17" s="187"/>
    </row>
    <row r="18" spans="1:17" ht="15.75" customHeight="1" x14ac:dyDescent="0.35">
      <c r="A18" s="193"/>
      <c r="B18" s="193"/>
      <c r="C18" s="193"/>
      <c r="D18" s="193"/>
      <c r="E18" s="193"/>
      <c r="F18" s="193"/>
      <c r="G18" s="141"/>
      <c r="H18" s="188"/>
      <c r="I18" s="188"/>
      <c r="J18" s="188"/>
      <c r="K18" s="142"/>
      <c r="L18" s="187"/>
      <c r="M18" s="187"/>
      <c r="N18" s="187"/>
      <c r="O18" s="187"/>
      <c r="P18" s="187"/>
      <c r="Q18" s="187"/>
    </row>
    <row r="19" spans="1:17" ht="15.75" customHeight="1" x14ac:dyDescent="0.35">
      <c r="A19" s="193"/>
      <c r="B19" s="193"/>
      <c r="C19" s="193"/>
      <c r="D19" s="193"/>
      <c r="E19" s="193"/>
      <c r="F19" s="193"/>
      <c r="G19" s="141"/>
      <c r="H19" s="188"/>
      <c r="I19" s="188"/>
      <c r="J19" s="188"/>
      <c r="K19" s="142"/>
      <c r="L19" s="187"/>
      <c r="M19" s="187"/>
      <c r="N19" s="187"/>
      <c r="O19" s="187"/>
      <c r="P19" s="187"/>
      <c r="Q19" s="187"/>
    </row>
    <row r="20" spans="1:17" ht="18" customHeight="1" x14ac:dyDescent="0.35">
      <c r="A20" s="190" t="str">
        <f ca="1">IFERROR(IF(LEN(VLOOKUP($H23,control!$AF$2:$AG$65536,2,FALSE))&gt;300,LEFT(VLOOKUP($H23,control!$AF$2:$AG$65536,2,FALSE),300)&amp;" …",VLOOKUP($H23,control!$AF$2:$AG$65536,2,FALSE)),"")</f>
        <v>Уплата юридическими лицами и ИП единого налога на вмененный доход</v>
      </c>
      <c r="B20" s="190"/>
      <c r="C20" s="190"/>
      <c r="D20" s="190"/>
      <c r="E20" s="190"/>
      <c r="F20" s="190"/>
      <c r="G20" s="141"/>
      <c r="H20" s="143">
        <f>H14+1</f>
        <v>3</v>
      </c>
      <c r="I20" s="189"/>
      <c r="J20" s="143"/>
      <c r="K20" s="142"/>
      <c r="L20" s="187"/>
      <c r="M20" s="187"/>
      <c r="N20" s="187"/>
      <c r="O20" s="187"/>
      <c r="P20" s="187"/>
      <c r="Q20" s="187"/>
    </row>
    <row r="21" spans="1:17" x14ac:dyDescent="0.35">
      <c r="A21" s="190"/>
      <c r="B21" s="190"/>
      <c r="C21" s="190"/>
      <c r="D21" s="190"/>
      <c r="E21" s="190"/>
      <c r="F21" s="190"/>
      <c r="G21" s="141"/>
      <c r="H21" s="143"/>
      <c r="I21" s="189"/>
      <c r="J21" s="143"/>
      <c r="K21" s="142"/>
      <c r="L21" s="187"/>
      <c r="M21" s="187"/>
      <c r="N21" s="187"/>
      <c r="O21" s="187"/>
      <c r="P21" s="187"/>
      <c r="Q21" s="187"/>
    </row>
    <row r="22" spans="1:17" x14ac:dyDescent="0.35">
      <c r="A22" s="190"/>
      <c r="B22" s="190"/>
      <c r="C22" s="190"/>
      <c r="D22" s="190"/>
      <c r="E22" s="190"/>
      <c r="F22" s="190"/>
      <c r="G22" s="141"/>
      <c r="H22" s="143"/>
      <c r="I22" s="189"/>
      <c r="J22" s="143"/>
      <c r="K22" s="142"/>
      <c r="L22" s="187"/>
      <c r="M22" s="187"/>
      <c r="N22" s="187"/>
      <c r="O22" s="187"/>
      <c r="P22" s="187"/>
      <c r="Q22" s="187"/>
    </row>
    <row r="23" spans="1:17" ht="15.75" customHeight="1" x14ac:dyDescent="0.35">
      <c r="A23" s="190"/>
      <c r="B23" s="190"/>
      <c r="C23" s="190"/>
      <c r="D23" s="190"/>
      <c r="E23" s="190"/>
      <c r="F23" s="190"/>
      <c r="G23" s="141"/>
      <c r="H23" s="188">
        <f ca="1">IF(COUNT(dates_end_nearest)&gt;=H26,SMALL(dates_end_nearest,H26),"")</f>
        <v>43306</v>
      </c>
      <c r="I23" s="188"/>
      <c r="J23" s="188"/>
      <c r="K23" s="142"/>
      <c r="L23" s="193"/>
      <c r="M23" s="193"/>
      <c r="N23" s="193"/>
      <c r="O23" s="193"/>
      <c r="P23" s="193"/>
      <c r="Q23" s="193"/>
    </row>
    <row r="24" spans="1:17" ht="15.75" customHeight="1" x14ac:dyDescent="0.35">
      <c r="A24" s="190"/>
      <c r="B24" s="190"/>
      <c r="C24" s="190"/>
      <c r="D24" s="190"/>
      <c r="E24" s="190"/>
      <c r="F24" s="190"/>
      <c r="G24" s="141"/>
      <c r="H24" s="188"/>
      <c r="I24" s="188"/>
      <c r="J24" s="188"/>
      <c r="K24" s="142"/>
      <c r="L24" s="193"/>
      <c r="M24" s="193"/>
      <c r="N24" s="193"/>
      <c r="O24" s="193"/>
      <c r="P24" s="193"/>
      <c r="Q24" s="193"/>
    </row>
    <row r="25" spans="1:17" ht="15.75" customHeight="1" x14ac:dyDescent="0.35">
      <c r="A25" s="190"/>
      <c r="B25" s="190"/>
      <c r="C25" s="190"/>
      <c r="D25" s="190"/>
      <c r="E25" s="190"/>
      <c r="F25" s="190"/>
      <c r="G25" s="141"/>
      <c r="H25" s="188"/>
      <c r="I25" s="188"/>
      <c r="J25" s="188"/>
      <c r="K25" s="142"/>
      <c r="L25" s="193"/>
      <c r="M25" s="193"/>
      <c r="N25" s="193"/>
      <c r="O25" s="193"/>
      <c r="P25" s="193"/>
      <c r="Q25" s="193"/>
    </row>
    <row r="26" spans="1:17" ht="18" customHeight="1" x14ac:dyDescent="0.35">
      <c r="A26" s="190"/>
      <c r="B26" s="190"/>
      <c r="C26" s="190"/>
      <c r="D26" s="190"/>
      <c r="E26" s="190"/>
      <c r="F26" s="190"/>
      <c r="G26" s="141"/>
      <c r="H26" s="143">
        <f>H20+1</f>
        <v>4</v>
      </c>
      <c r="I26" s="189"/>
      <c r="J26" s="143"/>
      <c r="K26" s="142"/>
      <c r="L26" s="187" t="str">
        <f ca="1">IFERROR(IF(LEN(VLOOKUP($H29,control!$AF$2:$AG$65536,2,FALSE))&gt;300,LEFT(VLOOKUP($H29,control!$AF$2:$AG$65536,2,FALSE),300)&amp;" …",VLOOKUP($H29,control!$AF$2:$AG$65536,2,FALSE)),"")</f>
        <v>Инвентаризация предоставляемых субвенций, субсидий и иных межбюджетных трансфертов из областного бюджета бюджетам муниципальных районов (городских округов), предложения по укрупнению (объединению) субвенций, субсидий, оптимизации предоставления иных межбюджетных трансфертов</v>
      </c>
      <c r="M26" s="187"/>
      <c r="N26" s="187"/>
      <c r="O26" s="187"/>
      <c r="P26" s="187"/>
      <c r="Q26" s="187"/>
    </row>
    <row r="27" spans="1:17" x14ac:dyDescent="0.35">
      <c r="A27" s="190"/>
      <c r="B27" s="190"/>
      <c r="C27" s="190"/>
      <c r="D27" s="190"/>
      <c r="E27" s="190"/>
      <c r="F27" s="190"/>
      <c r="G27" s="141"/>
      <c r="H27" s="143"/>
      <c r="I27" s="189"/>
      <c r="J27" s="143"/>
      <c r="K27" s="142"/>
      <c r="L27" s="187"/>
      <c r="M27" s="187"/>
      <c r="N27" s="187"/>
      <c r="O27" s="187"/>
      <c r="P27" s="187"/>
      <c r="Q27" s="187"/>
    </row>
    <row r="28" spans="1:17" x14ac:dyDescent="0.35">
      <c r="A28" s="190"/>
      <c r="B28" s="190"/>
      <c r="C28" s="190"/>
      <c r="D28" s="190"/>
      <c r="E28" s="190"/>
      <c r="F28" s="190"/>
      <c r="G28" s="141"/>
      <c r="H28" s="143"/>
      <c r="I28" s="189"/>
      <c r="J28" s="143"/>
      <c r="K28" s="142"/>
      <c r="L28" s="187"/>
      <c r="M28" s="187"/>
      <c r="N28" s="187"/>
      <c r="O28" s="187"/>
      <c r="P28" s="187"/>
      <c r="Q28" s="187"/>
    </row>
    <row r="29" spans="1:17" ht="15.75" customHeight="1" x14ac:dyDescent="0.35">
      <c r="A29" s="193"/>
      <c r="B29" s="193"/>
      <c r="C29" s="193"/>
      <c r="D29" s="193"/>
      <c r="E29" s="193"/>
      <c r="F29" s="193"/>
      <c r="G29" s="141"/>
      <c r="H29" s="188">
        <f ca="1">IF(COUNT(dates_end_nearest)&gt;=H32,SMALL(dates_end_nearest,H32),"")</f>
        <v>43309</v>
      </c>
      <c r="I29" s="188"/>
      <c r="J29" s="188"/>
      <c r="K29" s="142"/>
      <c r="L29" s="187"/>
      <c r="M29" s="187"/>
      <c r="N29" s="187"/>
      <c r="O29" s="187"/>
      <c r="P29" s="187"/>
      <c r="Q29" s="187"/>
    </row>
    <row r="30" spans="1:17" ht="15.75" customHeight="1" x14ac:dyDescent="0.35">
      <c r="A30" s="193"/>
      <c r="B30" s="193"/>
      <c r="C30" s="193"/>
      <c r="D30" s="193"/>
      <c r="E30" s="193"/>
      <c r="F30" s="193"/>
      <c r="G30" s="141"/>
      <c r="H30" s="188"/>
      <c r="I30" s="188"/>
      <c r="J30" s="188"/>
      <c r="K30" s="142"/>
      <c r="L30" s="187"/>
      <c r="M30" s="187"/>
      <c r="N30" s="187"/>
      <c r="O30" s="187"/>
      <c r="P30" s="187"/>
      <c r="Q30" s="187"/>
    </row>
    <row r="31" spans="1:17" ht="15.75" customHeight="1" x14ac:dyDescent="0.35">
      <c r="A31" s="193"/>
      <c r="B31" s="193"/>
      <c r="C31" s="193"/>
      <c r="D31" s="193"/>
      <c r="E31" s="193"/>
      <c r="F31" s="193"/>
      <c r="G31" s="141"/>
      <c r="H31" s="188"/>
      <c r="I31" s="188"/>
      <c r="J31" s="188"/>
      <c r="K31" s="142"/>
      <c r="L31" s="187"/>
      <c r="M31" s="187"/>
      <c r="N31" s="187"/>
      <c r="O31" s="187"/>
      <c r="P31" s="187"/>
      <c r="Q31" s="187"/>
    </row>
    <row r="32" spans="1:17" ht="18" customHeight="1" x14ac:dyDescent="0.35">
      <c r="A32" s="190" t="str">
        <f ca="1">IFERROR(IF(LEN(VLOOKUP($H35,control!$AF$2:$AG$65536,2,FALSE))&gt;300,LEFT(VLOOKUP($H35,control!$AF$2:$AG$65536,2,FALSE),300)&amp;" …",VLOOKUP($H35,control!$AF$2:$AG$65536,2,FALSE)),"")</f>
        <v>Мониторинг качества управления муниципальными финансами (II квартал)</v>
      </c>
      <c r="B32" s="190"/>
      <c r="C32" s="190"/>
      <c r="D32" s="190"/>
      <c r="E32" s="190"/>
      <c r="F32" s="190"/>
      <c r="G32" s="141"/>
      <c r="H32" s="143">
        <f>H26+1</f>
        <v>5</v>
      </c>
      <c r="I32" s="189"/>
      <c r="J32" s="143"/>
      <c r="K32" s="142"/>
      <c r="L32" s="187"/>
      <c r="M32" s="187"/>
      <c r="N32" s="187"/>
      <c r="O32" s="187"/>
      <c r="P32" s="187"/>
      <c r="Q32" s="187"/>
    </row>
    <row r="33" spans="1:17" x14ac:dyDescent="0.35">
      <c r="A33" s="190"/>
      <c r="B33" s="190"/>
      <c r="C33" s="190"/>
      <c r="D33" s="190"/>
      <c r="E33" s="190"/>
      <c r="F33" s="190"/>
      <c r="G33" s="141"/>
      <c r="H33" s="143"/>
      <c r="I33" s="189"/>
      <c r="J33" s="143"/>
      <c r="K33" s="142"/>
      <c r="L33" s="187"/>
      <c r="M33" s="187"/>
      <c r="N33" s="187"/>
      <c r="O33" s="187"/>
      <c r="P33" s="187"/>
      <c r="Q33" s="187"/>
    </row>
    <row r="34" spans="1:17" x14ac:dyDescent="0.35">
      <c r="A34" s="190"/>
      <c r="B34" s="190"/>
      <c r="C34" s="190"/>
      <c r="D34" s="190"/>
      <c r="E34" s="190"/>
      <c r="F34" s="190"/>
      <c r="G34" s="141"/>
      <c r="H34" s="143"/>
      <c r="I34" s="189"/>
      <c r="J34" s="143"/>
      <c r="K34" s="142"/>
      <c r="L34" s="187"/>
      <c r="M34" s="187"/>
      <c r="N34" s="187"/>
      <c r="O34" s="187"/>
      <c r="P34" s="187"/>
      <c r="Q34" s="187"/>
    </row>
    <row r="35" spans="1:17" ht="15.75" customHeight="1" x14ac:dyDescent="0.35">
      <c r="A35" s="190"/>
      <c r="B35" s="190"/>
      <c r="C35" s="190"/>
      <c r="D35" s="190"/>
      <c r="E35" s="190"/>
      <c r="F35" s="190"/>
      <c r="G35" s="141"/>
      <c r="H35" s="188">
        <f ca="1">IF(COUNT(dates_end_nearest)&gt;=H38,SMALL(dates_end_nearest,H38),"")</f>
        <v>43311</v>
      </c>
      <c r="I35" s="188"/>
      <c r="J35" s="188"/>
      <c r="K35" s="142"/>
      <c r="L35" s="193"/>
      <c r="M35" s="193"/>
      <c r="N35" s="193"/>
      <c r="O35" s="193"/>
      <c r="P35" s="193"/>
      <c r="Q35" s="193"/>
    </row>
    <row r="36" spans="1:17" ht="15.75" customHeight="1" x14ac:dyDescent="0.35">
      <c r="A36" s="190"/>
      <c r="B36" s="190"/>
      <c r="C36" s="190"/>
      <c r="D36" s="190"/>
      <c r="E36" s="190"/>
      <c r="F36" s="190"/>
      <c r="G36" s="141"/>
      <c r="H36" s="188"/>
      <c r="I36" s="188"/>
      <c r="J36" s="188"/>
      <c r="K36" s="142"/>
      <c r="L36" s="193"/>
      <c r="M36" s="193"/>
      <c r="N36" s="193"/>
      <c r="O36" s="193"/>
      <c r="P36" s="193"/>
      <c r="Q36" s="193"/>
    </row>
    <row r="37" spans="1:17" ht="15.75" customHeight="1" x14ac:dyDescent="0.35">
      <c r="A37" s="190"/>
      <c r="B37" s="190"/>
      <c r="C37" s="190"/>
      <c r="D37" s="190"/>
      <c r="E37" s="190"/>
      <c r="F37" s="190"/>
      <c r="G37" s="141"/>
      <c r="H37" s="188"/>
      <c r="I37" s="188"/>
      <c r="J37" s="188"/>
      <c r="K37" s="142"/>
      <c r="L37" s="193"/>
      <c r="M37" s="193"/>
      <c r="N37" s="193"/>
      <c r="O37" s="193"/>
      <c r="P37" s="193"/>
      <c r="Q37" s="193"/>
    </row>
    <row r="38" spans="1:17" ht="18" customHeight="1" x14ac:dyDescent="0.35">
      <c r="A38" s="190"/>
      <c r="B38" s="190"/>
      <c r="C38" s="190"/>
      <c r="D38" s="190"/>
      <c r="E38" s="190"/>
      <c r="F38" s="190"/>
      <c r="G38" s="141"/>
      <c r="H38" s="143">
        <f>H32+1</f>
        <v>6</v>
      </c>
      <c r="I38" s="189"/>
      <c r="J38" s="143"/>
      <c r="K38" s="142"/>
      <c r="L38" s="187" t="str">
        <f ca="1">IFERROR(IF(LEN(VLOOKUP($H41,control!$AF$2:$AG$65536,2,FALSE))&gt;300,LEFT(VLOOKUP($H41,control!$AF$2:$AG$65536,2,FALSE),300)&amp;" …",VLOOKUP($H41,control!$AF$2:$AG$65536,2,FALSE)),"")</f>
        <v>Проект областной программы приватизации на 2018 год и на плановый период 2019 и 2020 годов</v>
      </c>
      <c r="M38" s="187"/>
      <c r="N38" s="187"/>
      <c r="O38" s="187"/>
      <c r="P38" s="187"/>
      <c r="Q38" s="187"/>
    </row>
    <row r="39" spans="1:17" x14ac:dyDescent="0.35">
      <c r="A39" s="190"/>
      <c r="B39" s="190"/>
      <c r="C39" s="190"/>
      <c r="D39" s="190"/>
      <c r="E39" s="190"/>
      <c r="F39" s="190"/>
      <c r="G39" s="141"/>
      <c r="H39" s="143"/>
      <c r="I39" s="189"/>
      <c r="J39" s="143"/>
      <c r="K39" s="142"/>
      <c r="L39" s="187"/>
      <c r="M39" s="187"/>
      <c r="N39" s="187"/>
      <c r="O39" s="187"/>
      <c r="P39" s="187"/>
      <c r="Q39" s="187"/>
    </row>
    <row r="40" spans="1:17" x14ac:dyDescent="0.35">
      <c r="A40" s="190"/>
      <c r="B40" s="190"/>
      <c r="C40" s="190"/>
      <c r="D40" s="190"/>
      <c r="E40" s="190"/>
      <c r="F40" s="190"/>
      <c r="G40" s="141"/>
      <c r="H40" s="143"/>
      <c r="I40" s="189"/>
      <c r="J40" s="143"/>
      <c r="K40" s="142"/>
      <c r="L40" s="187"/>
      <c r="M40" s="187"/>
      <c r="N40" s="187"/>
      <c r="O40" s="187"/>
      <c r="P40" s="187"/>
      <c r="Q40" s="187"/>
    </row>
    <row r="41" spans="1:17" ht="15.75" customHeight="1" x14ac:dyDescent="0.35">
      <c r="A41" s="193"/>
      <c r="B41" s="193"/>
      <c r="C41" s="193"/>
      <c r="D41" s="193"/>
      <c r="E41" s="193"/>
      <c r="F41" s="193"/>
      <c r="G41" s="141"/>
      <c r="H41" s="188">
        <f ca="1">IF(COUNT(dates_end_nearest)&gt;=H44,SMALL(dates_end_nearest,H44),"")</f>
        <v>43312</v>
      </c>
      <c r="I41" s="188"/>
      <c r="J41" s="188"/>
      <c r="K41" s="142"/>
      <c r="L41" s="187"/>
      <c r="M41" s="187"/>
      <c r="N41" s="187"/>
      <c r="O41" s="187"/>
      <c r="P41" s="187"/>
      <c r="Q41" s="187"/>
    </row>
    <row r="42" spans="1:17" ht="15.75" customHeight="1" x14ac:dyDescent="0.35">
      <c r="A42" s="193"/>
      <c r="B42" s="193"/>
      <c r="C42" s="193"/>
      <c r="D42" s="193"/>
      <c r="E42" s="193"/>
      <c r="F42" s="193"/>
      <c r="G42" s="141"/>
      <c r="H42" s="188"/>
      <c r="I42" s="188"/>
      <c r="J42" s="188"/>
      <c r="K42" s="142"/>
      <c r="L42" s="187"/>
      <c r="M42" s="187"/>
      <c r="N42" s="187"/>
      <c r="O42" s="187"/>
      <c r="P42" s="187"/>
      <c r="Q42" s="187"/>
    </row>
    <row r="43" spans="1:17" ht="15.75" customHeight="1" x14ac:dyDescent="0.35">
      <c r="A43" s="193"/>
      <c r="B43" s="193"/>
      <c r="C43" s="193"/>
      <c r="D43" s="193"/>
      <c r="E43" s="193"/>
      <c r="F43" s="193"/>
      <c r="G43" s="141"/>
      <c r="H43" s="188"/>
      <c r="I43" s="188"/>
      <c r="J43" s="188"/>
      <c r="K43" s="142"/>
      <c r="L43" s="187"/>
      <c r="M43" s="187"/>
      <c r="N43" s="187"/>
      <c r="O43" s="187"/>
      <c r="P43" s="187"/>
      <c r="Q43" s="187"/>
    </row>
    <row r="44" spans="1:17" ht="18" customHeight="1" x14ac:dyDescent="0.35">
      <c r="A44" s="190" t="str">
        <f ca="1">IFERROR(IF(LEN(VLOOKUP($H47,control!$AF$2:$AG$65536,2,FALSE))&gt;300,LEFT(VLOOKUP($H47,control!$AF$2:$AG$65536,2,FALSE),300)&amp;" …",VLOOKUP($H47,control!$AF$2:$AG$65536,2,FALSE)),"")</f>
        <v>Расчеты объемов расходов на 2018-2020 годы: на финансовое обеспечение государственных гарантий реализации прав на получение общедоступного и бесплатного дошкольного образования в образовательных организациях на финансовое обеспечение государственных гарантий реализации прав на получение общедоступно …</v>
      </c>
      <c r="B44" s="190"/>
      <c r="C44" s="190"/>
      <c r="D44" s="190"/>
      <c r="E44" s="190"/>
      <c r="F44" s="190"/>
      <c r="G44" s="141"/>
      <c r="H44" s="143">
        <f>H38+1</f>
        <v>7</v>
      </c>
      <c r="I44" s="189"/>
      <c r="J44" s="143"/>
      <c r="K44" s="142"/>
      <c r="L44" s="187"/>
      <c r="M44" s="187"/>
      <c r="N44" s="187"/>
      <c r="O44" s="187"/>
      <c r="P44" s="187"/>
      <c r="Q44" s="187"/>
    </row>
    <row r="45" spans="1:17" x14ac:dyDescent="0.35">
      <c r="A45" s="190"/>
      <c r="B45" s="190"/>
      <c r="C45" s="190"/>
      <c r="D45" s="190"/>
      <c r="E45" s="190"/>
      <c r="F45" s="190"/>
      <c r="G45" s="141"/>
      <c r="H45" s="143"/>
      <c r="I45" s="189"/>
      <c r="J45" s="143"/>
      <c r="K45" s="142"/>
      <c r="L45" s="187"/>
      <c r="M45" s="187"/>
      <c r="N45" s="187"/>
      <c r="O45" s="187"/>
      <c r="P45" s="187"/>
      <c r="Q45" s="187"/>
    </row>
    <row r="46" spans="1:17" x14ac:dyDescent="0.35">
      <c r="A46" s="190"/>
      <c r="B46" s="190"/>
      <c r="C46" s="190"/>
      <c r="D46" s="190"/>
      <c r="E46" s="190"/>
      <c r="F46" s="190"/>
      <c r="G46" s="141"/>
      <c r="H46" s="143"/>
      <c r="I46" s="189"/>
      <c r="J46" s="143"/>
      <c r="K46" s="142"/>
      <c r="L46" s="187"/>
      <c r="M46" s="187"/>
      <c r="N46" s="187"/>
      <c r="O46" s="187"/>
      <c r="P46" s="187"/>
      <c r="Q46" s="187"/>
    </row>
    <row r="47" spans="1:17" ht="15.75" customHeight="1" x14ac:dyDescent="0.35">
      <c r="A47" s="190"/>
      <c r="B47" s="190"/>
      <c r="C47" s="190"/>
      <c r="D47" s="190"/>
      <c r="E47" s="190"/>
      <c r="F47" s="190"/>
      <c r="G47" s="141"/>
      <c r="H47" s="188">
        <f ca="1">IF(COUNT(dates_end_nearest)&gt;=H50,SMALL(dates_end_nearest,H50),"")</f>
        <v>43322</v>
      </c>
      <c r="I47" s="188"/>
      <c r="J47" s="188"/>
      <c r="K47" s="142"/>
      <c r="L47" s="142"/>
      <c r="M47" s="142"/>
      <c r="N47" s="142"/>
      <c r="O47" s="142"/>
      <c r="P47" s="142"/>
      <c r="Q47" s="142"/>
    </row>
    <row r="48" spans="1:17" ht="15.75" customHeight="1" x14ac:dyDescent="0.35">
      <c r="A48" s="190"/>
      <c r="B48" s="190"/>
      <c r="C48" s="190"/>
      <c r="D48" s="190"/>
      <c r="E48" s="190"/>
      <c r="F48" s="190"/>
      <c r="G48" s="141"/>
      <c r="H48" s="188"/>
      <c r="I48" s="188"/>
      <c r="J48" s="188"/>
      <c r="K48" s="142"/>
      <c r="L48" s="142"/>
      <c r="M48" s="142"/>
      <c r="N48" s="142"/>
      <c r="O48" s="142"/>
      <c r="P48" s="142"/>
      <c r="Q48" s="142"/>
    </row>
    <row r="49" spans="1:17" ht="15.75" customHeight="1" x14ac:dyDescent="0.35">
      <c r="A49" s="190"/>
      <c r="B49" s="190"/>
      <c r="C49" s="190"/>
      <c r="D49" s="190"/>
      <c r="E49" s="190"/>
      <c r="F49" s="190"/>
      <c r="G49" s="141"/>
      <c r="H49" s="188"/>
      <c r="I49" s="188"/>
      <c r="J49" s="188"/>
      <c r="K49" s="142"/>
      <c r="L49" s="142"/>
      <c r="M49" s="142"/>
      <c r="N49" s="142"/>
      <c r="O49" s="142"/>
      <c r="P49" s="142"/>
      <c r="Q49" s="142"/>
    </row>
    <row r="50" spans="1:17" ht="18" customHeight="1" x14ac:dyDescent="0.35">
      <c r="A50" s="190"/>
      <c r="B50" s="190"/>
      <c r="C50" s="190"/>
      <c r="D50" s="190"/>
      <c r="E50" s="190"/>
      <c r="F50" s="190"/>
      <c r="G50" s="141"/>
      <c r="H50" s="143">
        <f>H44+1</f>
        <v>8</v>
      </c>
      <c r="I50" s="189"/>
      <c r="J50" s="143"/>
      <c r="K50" s="142"/>
      <c r="L50" s="187" t="str">
        <f ca="1">IFERROR(IF(LEN(VLOOKUP($H53,control!$AF$2:$AG$65536,2,FALSE))&gt;300,LEFT(VLOOKUP($H53,control!$AF$2:$AG$65536,2,FALSE),300)&amp;" …",VLOOKUP($H53,control!$AF$2:$AG$65536,2,FALSE)),"")</f>
        <v>Планы закупок для обеспечения нужд Брянской области на очередной финансовый год и на плановый период</v>
      </c>
      <c r="M50" s="187"/>
      <c r="N50" s="187"/>
      <c r="O50" s="187"/>
      <c r="P50" s="187"/>
      <c r="Q50" s="187"/>
    </row>
    <row r="51" spans="1:17" x14ac:dyDescent="0.35">
      <c r="A51" s="190"/>
      <c r="B51" s="190"/>
      <c r="C51" s="190"/>
      <c r="D51" s="190"/>
      <c r="E51" s="190"/>
      <c r="F51" s="190"/>
      <c r="G51" s="141"/>
      <c r="H51" s="143"/>
      <c r="I51" s="189"/>
      <c r="J51" s="143"/>
      <c r="K51" s="142"/>
      <c r="L51" s="187"/>
      <c r="M51" s="187"/>
      <c r="N51" s="187"/>
      <c r="O51" s="187"/>
      <c r="P51" s="187"/>
      <c r="Q51" s="187"/>
    </row>
    <row r="52" spans="1:17" x14ac:dyDescent="0.35">
      <c r="A52" s="190"/>
      <c r="B52" s="190"/>
      <c r="C52" s="190"/>
      <c r="D52" s="190"/>
      <c r="E52" s="190"/>
      <c r="F52" s="190"/>
      <c r="G52" s="141"/>
      <c r="H52" s="143"/>
      <c r="I52" s="189"/>
      <c r="J52" s="143"/>
      <c r="K52" s="142"/>
      <c r="L52" s="187"/>
      <c r="M52" s="187"/>
      <c r="N52" s="187"/>
      <c r="O52" s="187"/>
      <c r="P52" s="187"/>
      <c r="Q52" s="187"/>
    </row>
    <row r="53" spans="1:17" ht="15.75" customHeight="1" x14ac:dyDescent="0.35">
      <c r="A53" s="142"/>
      <c r="B53" s="142"/>
      <c r="C53" s="142"/>
      <c r="D53" s="142"/>
      <c r="E53" s="142"/>
      <c r="F53" s="142"/>
      <c r="G53" s="141"/>
      <c r="H53" s="188">
        <f ca="1">IF(COUNT(dates_end_nearest)&gt;=H56,SMALL(dates_end_nearest,H56),"")</f>
        <v>43323</v>
      </c>
      <c r="I53" s="188"/>
      <c r="J53" s="188"/>
      <c r="K53" s="142"/>
      <c r="L53" s="187"/>
      <c r="M53" s="187"/>
      <c r="N53" s="187"/>
      <c r="O53" s="187"/>
      <c r="P53" s="187"/>
      <c r="Q53" s="187"/>
    </row>
    <row r="54" spans="1:17" ht="15.75" customHeight="1" x14ac:dyDescent="0.35">
      <c r="A54" s="142"/>
      <c r="B54" s="142"/>
      <c r="C54" s="142"/>
      <c r="D54" s="142"/>
      <c r="E54" s="142"/>
      <c r="F54" s="142"/>
      <c r="G54" s="141"/>
      <c r="H54" s="188"/>
      <c r="I54" s="188"/>
      <c r="J54" s="188"/>
      <c r="K54" s="142"/>
      <c r="L54" s="187"/>
      <c r="M54" s="187"/>
      <c r="N54" s="187"/>
      <c r="O54" s="187"/>
      <c r="P54" s="187"/>
      <c r="Q54" s="187"/>
    </row>
    <row r="55" spans="1:17" ht="15.75" customHeight="1" x14ac:dyDescent="0.35">
      <c r="A55" s="142"/>
      <c r="B55" s="142"/>
      <c r="C55" s="142"/>
      <c r="D55" s="142"/>
      <c r="E55" s="142"/>
      <c r="F55" s="142"/>
      <c r="G55" s="141"/>
      <c r="H55" s="188"/>
      <c r="I55" s="188"/>
      <c r="J55" s="188"/>
      <c r="K55" s="142"/>
      <c r="L55" s="187"/>
      <c r="M55" s="187"/>
      <c r="N55" s="187"/>
      <c r="O55" s="187"/>
      <c r="P55" s="187"/>
      <c r="Q55" s="187"/>
    </row>
    <row r="56" spans="1:17" ht="18" customHeight="1" x14ac:dyDescent="0.35">
      <c r="A56" s="190" t="str">
        <f ca="1">IFERROR(IF(LEN(VLOOKUP($H59,control!$AF$2:$AG$65536,2,FALSE))&gt;300,LEFT(VLOOKUP($H59,control!$AF$2:$AG$65536,2,FALSE),300)&amp;" …",VLOOKUP($H59,control!$AF$2:$AG$65536,2,FALSE)),"")</f>
        <v>Предложения по утверждению нормативов расходов муниципальных образований области, применяемых при формировании проекта областного бюджета в части межбюджетных отношений на 2018 – 2020 годы</v>
      </c>
      <c r="B56" s="190"/>
      <c r="C56" s="190"/>
      <c r="D56" s="190"/>
      <c r="E56" s="190"/>
      <c r="F56" s="190"/>
      <c r="G56" s="141"/>
      <c r="H56" s="143">
        <f>H50+1</f>
        <v>9</v>
      </c>
      <c r="I56" s="189"/>
      <c r="J56" s="143"/>
      <c r="K56" s="142"/>
      <c r="L56" s="187"/>
      <c r="M56" s="187"/>
      <c r="N56" s="187"/>
      <c r="O56" s="187"/>
      <c r="P56" s="187"/>
      <c r="Q56" s="187"/>
    </row>
    <row r="57" spans="1:17" x14ac:dyDescent="0.35">
      <c r="A57" s="190"/>
      <c r="B57" s="190"/>
      <c r="C57" s="190"/>
      <c r="D57" s="190"/>
      <c r="E57" s="190"/>
      <c r="F57" s="190"/>
      <c r="G57" s="141"/>
      <c r="H57" s="143"/>
      <c r="I57" s="189"/>
      <c r="J57" s="143"/>
      <c r="K57" s="142"/>
      <c r="L57" s="187"/>
      <c r="M57" s="187"/>
      <c r="N57" s="187"/>
      <c r="O57" s="187"/>
      <c r="P57" s="187"/>
      <c r="Q57" s="187"/>
    </row>
    <row r="58" spans="1:17" x14ac:dyDescent="0.35">
      <c r="A58" s="190"/>
      <c r="B58" s="190"/>
      <c r="C58" s="190"/>
      <c r="D58" s="190"/>
      <c r="E58" s="190"/>
      <c r="F58" s="190"/>
      <c r="G58" s="141"/>
      <c r="H58" s="143"/>
      <c r="I58" s="189"/>
      <c r="J58" s="143"/>
      <c r="K58" s="142"/>
      <c r="L58" s="187"/>
      <c r="M58" s="187"/>
      <c r="N58" s="187"/>
      <c r="O58" s="187"/>
      <c r="P58" s="187"/>
      <c r="Q58" s="187"/>
    </row>
    <row r="59" spans="1:17" ht="15.75" customHeight="1" x14ac:dyDescent="0.35">
      <c r="A59" s="190"/>
      <c r="B59" s="190"/>
      <c r="C59" s="190"/>
      <c r="D59" s="190"/>
      <c r="E59" s="190"/>
      <c r="F59" s="190"/>
      <c r="G59" s="141"/>
      <c r="H59" s="188">
        <f ca="1">IF(COUNT(dates_end_nearest)&gt;=H62,SMALL(dates_end_nearest,H62),"")</f>
        <v>43327</v>
      </c>
      <c r="I59" s="188"/>
      <c r="J59" s="188"/>
      <c r="K59" s="142"/>
      <c r="L59" s="142"/>
      <c r="M59" s="142"/>
      <c r="N59" s="142"/>
      <c r="O59" s="142"/>
      <c r="P59" s="142"/>
      <c r="Q59" s="142"/>
    </row>
    <row r="60" spans="1:17" ht="15.75" customHeight="1" x14ac:dyDescent="0.35">
      <c r="A60" s="190"/>
      <c r="B60" s="190"/>
      <c r="C60" s="190"/>
      <c r="D60" s="190"/>
      <c r="E60" s="190"/>
      <c r="F60" s="190"/>
      <c r="G60" s="141"/>
      <c r="H60" s="188"/>
      <c r="I60" s="188"/>
      <c r="J60" s="188"/>
      <c r="K60" s="142"/>
      <c r="L60" s="142"/>
      <c r="M60" s="142"/>
      <c r="N60" s="142"/>
      <c r="O60" s="142"/>
      <c r="P60" s="142"/>
      <c r="Q60" s="142"/>
    </row>
    <row r="61" spans="1:17" ht="15.75" customHeight="1" x14ac:dyDescent="0.35">
      <c r="A61" s="190"/>
      <c r="B61" s="190"/>
      <c r="C61" s="190"/>
      <c r="D61" s="190"/>
      <c r="E61" s="190"/>
      <c r="F61" s="190"/>
      <c r="G61" s="141"/>
      <c r="H61" s="188"/>
      <c r="I61" s="188"/>
      <c r="J61" s="188"/>
      <c r="K61" s="142"/>
      <c r="L61" s="142"/>
      <c r="M61" s="142"/>
      <c r="N61" s="142"/>
      <c r="O61" s="142"/>
      <c r="P61" s="142"/>
      <c r="Q61" s="142"/>
    </row>
    <row r="62" spans="1:17" ht="18" customHeight="1" x14ac:dyDescent="0.35">
      <c r="A62" s="190"/>
      <c r="B62" s="190"/>
      <c r="C62" s="190"/>
      <c r="D62" s="190"/>
      <c r="E62" s="190"/>
      <c r="F62" s="190"/>
      <c r="G62" s="141"/>
      <c r="H62" s="143">
        <f>H56+1</f>
        <v>10</v>
      </c>
      <c r="I62" s="189"/>
      <c r="J62" s="143"/>
      <c r="K62" s="142"/>
      <c r="L62" s="187" t="str">
        <f ca="1">IFERROR(IF(LEN(VLOOKUP($H65,control!$AF$2:$AG$65536,2,FALSE))&gt;300,LEFT(VLOOKUP($H65,control!$AF$2:$AG$65536,2,FALSE),300)&amp;" …",VLOOKUP($H65,control!$AF$2:$AG$65536,2,FALSE)),"")</f>
        <v>Оценка эффективности предоставленных и планируемых к предоставлению налоговых льгот</v>
      </c>
      <c r="M62" s="187"/>
      <c r="N62" s="187"/>
      <c r="O62" s="187"/>
      <c r="P62" s="187"/>
      <c r="Q62" s="187"/>
    </row>
    <row r="63" spans="1:17" x14ac:dyDescent="0.35">
      <c r="A63" s="190"/>
      <c r="B63" s="190"/>
      <c r="C63" s="190"/>
      <c r="D63" s="190"/>
      <c r="E63" s="190"/>
      <c r="F63" s="190"/>
      <c r="G63" s="141"/>
      <c r="H63" s="143"/>
      <c r="I63" s="189"/>
      <c r="J63" s="143"/>
      <c r="K63" s="142"/>
      <c r="L63" s="187"/>
      <c r="M63" s="187"/>
      <c r="N63" s="187"/>
      <c r="O63" s="187"/>
      <c r="P63" s="187"/>
      <c r="Q63" s="187"/>
    </row>
    <row r="64" spans="1:17" x14ac:dyDescent="0.35">
      <c r="A64" s="190"/>
      <c r="B64" s="190"/>
      <c r="C64" s="190"/>
      <c r="D64" s="190"/>
      <c r="E64" s="190"/>
      <c r="F64" s="190"/>
      <c r="G64" s="141"/>
      <c r="H64" s="143"/>
      <c r="I64" s="189"/>
      <c r="J64" s="143"/>
      <c r="K64" s="142"/>
      <c r="L64" s="187"/>
      <c r="M64" s="187"/>
      <c r="N64" s="187"/>
      <c r="O64" s="187"/>
      <c r="P64" s="187"/>
      <c r="Q64" s="187"/>
    </row>
    <row r="65" spans="1:20" ht="15.75" customHeight="1" x14ac:dyDescent="0.35">
      <c r="A65" s="142"/>
      <c r="B65" s="142"/>
      <c r="C65" s="142"/>
      <c r="D65" s="142"/>
      <c r="E65" s="142"/>
      <c r="F65" s="142"/>
      <c r="G65" s="141"/>
      <c r="H65" s="188">
        <f ca="1">IF(COUNT(dates_end_nearest)&gt;=H68,SMALL(dates_end_nearest,H68),"")</f>
        <v>43344</v>
      </c>
      <c r="I65" s="188"/>
      <c r="J65" s="188"/>
      <c r="K65" s="142"/>
      <c r="L65" s="187"/>
      <c r="M65" s="187"/>
      <c r="N65" s="187"/>
      <c r="O65" s="187"/>
      <c r="P65" s="187"/>
      <c r="Q65" s="187"/>
    </row>
    <row r="66" spans="1:20" ht="15.75" customHeight="1" x14ac:dyDescent="0.35">
      <c r="A66" s="142"/>
      <c r="B66" s="142"/>
      <c r="C66" s="142"/>
      <c r="D66" s="142"/>
      <c r="E66" s="142"/>
      <c r="F66" s="142"/>
      <c r="G66" s="141"/>
      <c r="H66" s="188"/>
      <c r="I66" s="188"/>
      <c r="J66" s="188"/>
      <c r="K66" s="142"/>
      <c r="L66" s="187"/>
      <c r="M66" s="187"/>
      <c r="N66" s="187"/>
      <c r="O66" s="187"/>
      <c r="P66" s="187"/>
      <c r="Q66" s="187"/>
    </row>
    <row r="67" spans="1:20" ht="15.75" customHeight="1" x14ac:dyDescent="0.35">
      <c r="A67" s="142"/>
      <c r="B67" s="142"/>
      <c r="C67" s="142"/>
      <c r="D67" s="142"/>
      <c r="E67" s="142"/>
      <c r="F67" s="142"/>
      <c r="G67" s="141"/>
      <c r="H67" s="188"/>
      <c r="I67" s="188"/>
      <c r="J67" s="188"/>
      <c r="K67" s="142"/>
      <c r="L67" s="187"/>
      <c r="M67" s="187"/>
      <c r="N67" s="187"/>
      <c r="O67" s="187"/>
      <c r="P67" s="187"/>
      <c r="Q67" s="187"/>
    </row>
    <row r="68" spans="1:20" ht="18" customHeight="1" x14ac:dyDescent="0.35">
      <c r="A68" s="190" t="str">
        <f ca="1">IFERROR(IF(LEN(VLOOKUP($H71,control!$AF$2:$AG$65536,2,FALSE))&gt;300,LEFT(VLOOKUP($H71,control!$AF$2:$AG$65536,2,FALSE),300)&amp;" …",VLOOKUP($H71,control!$AF$2:$AG$65536,2,FALSE)),"")</f>
        <v>Перечень мероприятий по мобилизационной подготовке экономики Брянской области, планируемых на 2018 – 2020 годы к финансированию из областного бюджета, и сведения о потребности в бюджетных ассигнованиях на мобилизационные расходы на 2018 – 2020 годы</v>
      </c>
      <c r="B68" s="190"/>
      <c r="C68" s="190"/>
      <c r="D68" s="190"/>
      <c r="E68" s="190"/>
      <c r="F68" s="190"/>
      <c r="G68" s="141"/>
      <c r="H68" s="143">
        <f>H62+1</f>
        <v>11</v>
      </c>
      <c r="I68" s="189"/>
      <c r="J68" s="143"/>
      <c r="K68" s="142"/>
      <c r="L68" s="187"/>
      <c r="M68" s="187"/>
      <c r="N68" s="187"/>
      <c r="O68" s="187"/>
      <c r="P68" s="187"/>
      <c r="Q68" s="187"/>
    </row>
    <row r="69" spans="1:20" x14ac:dyDescent="0.35">
      <c r="A69" s="190"/>
      <c r="B69" s="190"/>
      <c r="C69" s="190"/>
      <c r="D69" s="190"/>
      <c r="E69" s="190"/>
      <c r="F69" s="190"/>
      <c r="G69" s="141"/>
      <c r="H69" s="143"/>
      <c r="I69" s="189"/>
      <c r="J69" s="143"/>
      <c r="K69" s="142"/>
      <c r="L69" s="187"/>
      <c r="M69" s="187"/>
      <c r="N69" s="187"/>
      <c r="O69" s="187"/>
      <c r="P69" s="187"/>
      <c r="Q69" s="187"/>
    </row>
    <row r="70" spans="1:20" x14ac:dyDescent="0.35">
      <c r="A70" s="190"/>
      <c r="B70" s="190"/>
      <c r="C70" s="190"/>
      <c r="D70" s="190"/>
      <c r="E70" s="190"/>
      <c r="F70" s="190"/>
      <c r="G70" s="141"/>
      <c r="H70" s="143"/>
      <c r="I70" s="189"/>
      <c r="J70" s="143"/>
      <c r="K70" s="142"/>
      <c r="L70" s="187"/>
      <c r="M70" s="187"/>
      <c r="N70" s="187"/>
      <c r="O70" s="187"/>
      <c r="P70" s="187"/>
      <c r="Q70" s="187"/>
    </row>
    <row r="71" spans="1:20" ht="15.75" customHeight="1" x14ac:dyDescent="0.35">
      <c r="A71" s="190"/>
      <c r="B71" s="190"/>
      <c r="C71" s="190"/>
      <c r="D71" s="190"/>
      <c r="E71" s="190"/>
      <c r="F71" s="190"/>
      <c r="G71" s="141"/>
      <c r="H71" s="188">
        <f ca="1">IF(COUNT(dates_end_nearest)&gt;=H74,SMALL(dates_end_nearest,H74),"")</f>
        <v>43347</v>
      </c>
      <c r="I71" s="188"/>
      <c r="J71" s="188"/>
      <c r="K71" s="142"/>
      <c r="L71" s="142"/>
      <c r="M71" s="142"/>
      <c r="N71" s="142"/>
      <c r="O71" s="142"/>
      <c r="P71" s="142"/>
      <c r="Q71" s="142"/>
    </row>
    <row r="72" spans="1:20" ht="15.75" customHeight="1" x14ac:dyDescent="0.35">
      <c r="A72" s="190"/>
      <c r="B72" s="190"/>
      <c r="C72" s="190"/>
      <c r="D72" s="190"/>
      <c r="E72" s="190"/>
      <c r="F72" s="190"/>
      <c r="G72" s="141"/>
      <c r="H72" s="188"/>
      <c r="I72" s="188"/>
      <c r="J72" s="188"/>
      <c r="K72" s="142"/>
      <c r="L72" s="142"/>
      <c r="M72" s="142"/>
      <c r="N72" s="142"/>
      <c r="O72" s="142"/>
      <c r="P72" s="142"/>
      <c r="Q72" s="142"/>
    </row>
    <row r="73" spans="1:20" ht="15.75" customHeight="1" x14ac:dyDescent="0.35">
      <c r="A73" s="190"/>
      <c r="B73" s="190"/>
      <c r="C73" s="190"/>
      <c r="D73" s="190"/>
      <c r="E73" s="190"/>
      <c r="F73" s="190"/>
      <c r="G73" s="141"/>
      <c r="H73" s="188"/>
      <c r="I73" s="188"/>
      <c r="J73" s="188"/>
      <c r="K73" s="142"/>
      <c r="L73" s="142"/>
      <c r="M73" s="142"/>
      <c r="N73" s="142"/>
      <c r="O73" s="142"/>
      <c r="P73" s="142"/>
      <c r="Q73" s="142"/>
      <c r="T73" s="144"/>
    </row>
    <row r="74" spans="1:20" ht="18" customHeight="1" x14ac:dyDescent="0.35">
      <c r="A74" s="190"/>
      <c r="B74" s="190"/>
      <c r="C74" s="190"/>
      <c r="D74" s="190"/>
      <c r="E74" s="190"/>
      <c r="F74" s="190"/>
      <c r="G74" s="141"/>
      <c r="H74" s="143">
        <f>H68+1</f>
        <v>12</v>
      </c>
      <c r="I74" s="189"/>
      <c r="J74" s="143"/>
      <c r="K74" s="142"/>
      <c r="L74" s="187" t="str">
        <f ca="1">IFERROR(IF(LEN(VLOOKUP($H77,control!$AF$2:$AG$65536,2,FALSE))&gt;300,LEFT(VLOOKUP($H77,control!$AF$2:$AG$65536,2,FALSE),300)&amp;" …",VLOOKUP($H77,control!$AF$2:$AG$65536,2,FALSE)),"")</f>
        <v>Исходная база для формирования межбюджетных отношений с муниципальными образованиями, согласование с органами местного самоуправления муниципальных образований</v>
      </c>
      <c r="M74" s="187"/>
      <c r="N74" s="187"/>
      <c r="O74" s="187"/>
      <c r="P74" s="187"/>
      <c r="Q74" s="187"/>
    </row>
    <row r="75" spans="1:20" x14ac:dyDescent="0.35">
      <c r="A75" s="190"/>
      <c r="B75" s="190"/>
      <c r="C75" s="190"/>
      <c r="D75" s="190"/>
      <c r="E75" s="190"/>
      <c r="F75" s="190"/>
      <c r="G75" s="141"/>
      <c r="H75" s="143"/>
      <c r="I75" s="189"/>
      <c r="J75" s="143"/>
      <c r="K75" s="142"/>
      <c r="L75" s="187"/>
      <c r="M75" s="187"/>
      <c r="N75" s="187"/>
      <c r="O75" s="187"/>
      <c r="P75" s="187"/>
      <c r="Q75" s="187"/>
    </row>
    <row r="76" spans="1:20" x14ac:dyDescent="0.35">
      <c r="A76" s="190"/>
      <c r="B76" s="190"/>
      <c r="C76" s="190"/>
      <c r="D76" s="190"/>
      <c r="E76" s="190"/>
      <c r="F76" s="190"/>
      <c r="G76" s="141"/>
      <c r="H76" s="143"/>
      <c r="I76" s="189"/>
      <c r="J76" s="143"/>
      <c r="K76" s="142"/>
      <c r="L76" s="187"/>
      <c r="M76" s="187"/>
      <c r="N76" s="187"/>
      <c r="O76" s="187"/>
      <c r="P76" s="187"/>
      <c r="Q76" s="187"/>
    </row>
    <row r="77" spans="1:20" ht="15.75" customHeight="1" x14ac:dyDescent="0.35">
      <c r="A77" s="142"/>
      <c r="B77" s="142"/>
      <c r="C77" s="142"/>
      <c r="D77" s="142"/>
      <c r="E77" s="142"/>
      <c r="F77" s="142"/>
      <c r="G77" s="141"/>
      <c r="H77" s="188">
        <f ca="1">IF(COUNT(dates_end_nearest)&gt;=H80,SMALL(dates_end_nearest,H80),"")</f>
        <v>43350</v>
      </c>
      <c r="I77" s="188"/>
      <c r="J77" s="188"/>
      <c r="K77" s="142"/>
      <c r="L77" s="187"/>
      <c r="M77" s="187"/>
      <c r="N77" s="187"/>
      <c r="O77" s="187"/>
      <c r="P77" s="187"/>
      <c r="Q77" s="187"/>
    </row>
    <row r="78" spans="1:20" ht="15.75" customHeight="1" x14ac:dyDescent="0.35">
      <c r="A78" s="142"/>
      <c r="B78" s="142"/>
      <c r="C78" s="142"/>
      <c r="D78" s="142"/>
      <c r="E78" s="142"/>
      <c r="F78" s="142"/>
      <c r="G78" s="141"/>
      <c r="H78" s="188"/>
      <c r="I78" s="188"/>
      <c r="J78" s="188"/>
      <c r="K78" s="142"/>
      <c r="L78" s="187"/>
      <c r="M78" s="187"/>
      <c r="N78" s="187"/>
      <c r="O78" s="187"/>
      <c r="P78" s="187"/>
      <c r="Q78" s="187"/>
    </row>
    <row r="79" spans="1:20" ht="15.75" customHeight="1" x14ac:dyDescent="0.35">
      <c r="A79" s="142"/>
      <c r="B79" s="142"/>
      <c r="C79" s="142"/>
      <c r="D79" s="142"/>
      <c r="E79" s="142"/>
      <c r="F79" s="142"/>
      <c r="G79" s="141"/>
      <c r="H79" s="188"/>
      <c r="I79" s="188"/>
      <c r="J79" s="188"/>
      <c r="K79" s="142"/>
      <c r="L79" s="187"/>
      <c r="M79" s="187"/>
      <c r="N79" s="187"/>
      <c r="O79" s="187"/>
      <c r="P79" s="187"/>
      <c r="Q79" s="187"/>
    </row>
    <row r="80" spans="1:20" ht="18" customHeight="1" x14ac:dyDescent="0.35">
      <c r="A80" s="190" t="str">
        <f ca="1">IFERROR(IF(LEN(VLOOKUP($H83,control!$AF$2:$AG$65536,2,FALSE))&gt;300,LEFT(VLOOKUP($H83,control!$AF$2:$AG$65536,2,FALSE),300)&amp;" …",VLOOKUP($H83,control!$AF$2:$AG$65536,2,FALSE)),"")</f>
        <v>Сформировать параметры областного бюджета на 2018 год и на плановый период 2019 и 2020 годов</v>
      </c>
      <c r="B80" s="190"/>
      <c r="C80" s="190"/>
      <c r="D80" s="190"/>
      <c r="E80" s="190"/>
      <c r="F80" s="190"/>
      <c r="G80" s="141"/>
      <c r="H80" s="143">
        <f>H74+1</f>
        <v>13</v>
      </c>
      <c r="I80" s="189"/>
      <c r="J80" s="143"/>
      <c r="K80" s="142"/>
      <c r="L80" s="187"/>
      <c r="M80" s="187"/>
      <c r="N80" s="187"/>
      <c r="O80" s="187"/>
      <c r="P80" s="187"/>
      <c r="Q80" s="187"/>
    </row>
    <row r="81" spans="1:17" x14ac:dyDescent="0.35">
      <c r="A81" s="190"/>
      <c r="B81" s="190"/>
      <c r="C81" s="190"/>
      <c r="D81" s="190"/>
      <c r="E81" s="190"/>
      <c r="F81" s="190"/>
      <c r="G81" s="141"/>
      <c r="H81" s="143"/>
      <c r="I81" s="189"/>
      <c r="J81" s="143"/>
      <c r="K81" s="142"/>
      <c r="L81" s="187"/>
      <c r="M81" s="187"/>
      <c r="N81" s="187"/>
      <c r="O81" s="187"/>
      <c r="P81" s="187"/>
      <c r="Q81" s="187"/>
    </row>
    <row r="82" spans="1:17" x14ac:dyDescent="0.35">
      <c r="A82" s="190"/>
      <c r="B82" s="190"/>
      <c r="C82" s="190"/>
      <c r="D82" s="190"/>
      <c r="E82" s="190"/>
      <c r="F82" s="190"/>
      <c r="G82" s="141"/>
      <c r="H82" s="143"/>
      <c r="I82" s="189"/>
      <c r="J82" s="143"/>
      <c r="K82" s="142"/>
      <c r="L82" s="187"/>
      <c r="M82" s="187"/>
      <c r="N82" s="187"/>
      <c r="O82" s="187"/>
      <c r="P82" s="187"/>
      <c r="Q82" s="187"/>
    </row>
    <row r="83" spans="1:17" ht="15.75" customHeight="1" x14ac:dyDescent="0.35">
      <c r="A83" s="190"/>
      <c r="B83" s="190"/>
      <c r="C83" s="190"/>
      <c r="D83" s="190"/>
      <c r="E83" s="190"/>
      <c r="F83" s="190"/>
      <c r="G83" s="141"/>
      <c r="H83" s="188">
        <f ca="1">IF(COUNT(dates_end_nearest)&gt;=H86,SMALL(dates_end_nearest,H86),"")</f>
        <v>43352</v>
      </c>
      <c r="I83" s="188"/>
      <c r="J83" s="188"/>
      <c r="K83" s="142"/>
      <c r="L83" s="142"/>
      <c r="M83" s="142"/>
      <c r="N83" s="142"/>
      <c r="O83" s="142"/>
      <c r="P83" s="142"/>
      <c r="Q83" s="142"/>
    </row>
    <row r="84" spans="1:17" ht="15.75" customHeight="1" x14ac:dyDescent="0.35">
      <c r="A84" s="190"/>
      <c r="B84" s="190"/>
      <c r="C84" s="190"/>
      <c r="D84" s="190"/>
      <c r="E84" s="190"/>
      <c r="F84" s="190"/>
      <c r="G84" s="141"/>
      <c r="H84" s="188"/>
      <c r="I84" s="188"/>
      <c r="J84" s="188"/>
      <c r="K84" s="142"/>
      <c r="L84" s="142"/>
      <c r="M84" s="142"/>
      <c r="N84" s="142"/>
      <c r="O84" s="142"/>
      <c r="P84" s="142"/>
      <c r="Q84" s="142"/>
    </row>
    <row r="85" spans="1:17" ht="15.75" customHeight="1" x14ac:dyDescent="0.35">
      <c r="A85" s="190"/>
      <c r="B85" s="190"/>
      <c r="C85" s="190"/>
      <c r="D85" s="190"/>
      <c r="E85" s="190"/>
      <c r="F85" s="190"/>
      <c r="G85" s="141"/>
      <c r="H85" s="188"/>
      <c r="I85" s="188"/>
      <c r="J85" s="188"/>
      <c r="K85" s="142"/>
      <c r="L85" s="142"/>
      <c r="M85" s="142"/>
      <c r="N85" s="142"/>
      <c r="O85" s="142"/>
      <c r="P85" s="142"/>
      <c r="Q85" s="142"/>
    </row>
    <row r="86" spans="1:17" ht="18" customHeight="1" x14ac:dyDescent="0.35">
      <c r="A86" s="190"/>
      <c r="B86" s="190"/>
      <c r="C86" s="190"/>
      <c r="D86" s="190"/>
      <c r="E86" s="190"/>
      <c r="F86" s="190"/>
      <c r="G86" s="141"/>
      <c r="H86" s="143">
        <f>H80+1</f>
        <v>14</v>
      </c>
      <c r="I86" s="189"/>
      <c r="J86" s="143"/>
      <c r="K86" s="142"/>
      <c r="L86" s="187" t="str">
        <f ca="1">IFERROR(IF(LEN(VLOOKUP($H89,control!$AF$2:$AG$65536,2,FALSE))&gt;300,LEFT(VLOOKUP($H89,control!$AF$2:$AG$65536,2,FALSE),300)&amp;" …",VLOOKUP($H89,control!$AF$2:$AG$65536,2,FALSE)),"")</f>
        <v>Основные направления бюджетной политики и основные направления налоговой политики Брянской области на 2018 год и на плановый период 2019 и 2020 годов</v>
      </c>
      <c r="M86" s="187"/>
      <c r="N86" s="187"/>
      <c r="O86" s="187"/>
      <c r="P86" s="187"/>
      <c r="Q86" s="187"/>
    </row>
    <row r="87" spans="1:17" x14ac:dyDescent="0.35">
      <c r="A87" s="190"/>
      <c r="B87" s="190"/>
      <c r="C87" s="190"/>
      <c r="D87" s="190"/>
      <c r="E87" s="190"/>
      <c r="F87" s="190"/>
      <c r="G87" s="141"/>
      <c r="H87" s="143"/>
      <c r="I87" s="189"/>
      <c r="J87" s="143"/>
      <c r="K87" s="142"/>
      <c r="L87" s="187"/>
      <c r="M87" s="187"/>
      <c r="N87" s="187"/>
      <c r="O87" s="187"/>
      <c r="P87" s="187"/>
      <c r="Q87" s="187"/>
    </row>
    <row r="88" spans="1:17" x14ac:dyDescent="0.35">
      <c r="A88" s="190"/>
      <c r="B88" s="190"/>
      <c r="C88" s="190"/>
      <c r="D88" s="190"/>
      <c r="E88" s="190"/>
      <c r="F88" s="190"/>
      <c r="G88" s="141"/>
      <c r="H88" s="143"/>
      <c r="I88" s="189"/>
      <c r="J88" s="143"/>
      <c r="K88" s="142"/>
      <c r="L88" s="187"/>
      <c r="M88" s="187"/>
      <c r="N88" s="187"/>
      <c r="O88" s="187"/>
      <c r="P88" s="187"/>
      <c r="Q88" s="187"/>
    </row>
    <row r="89" spans="1:17" ht="15.75" customHeight="1" x14ac:dyDescent="0.35">
      <c r="A89" s="142"/>
      <c r="B89" s="142"/>
      <c r="C89" s="142"/>
      <c r="D89" s="142"/>
      <c r="E89" s="142"/>
      <c r="F89" s="142"/>
      <c r="G89" s="141"/>
      <c r="H89" s="188">
        <f ca="1">IF(COUNT(dates_end_nearest)&gt;=H92,SMALL(dates_end_nearest,H92),"")</f>
        <v>43358</v>
      </c>
      <c r="I89" s="188"/>
      <c r="J89" s="188"/>
      <c r="K89" s="142"/>
      <c r="L89" s="187"/>
      <c r="M89" s="187"/>
      <c r="N89" s="187"/>
      <c r="O89" s="187"/>
      <c r="P89" s="187"/>
      <c r="Q89" s="187"/>
    </row>
    <row r="90" spans="1:17" ht="15.75" customHeight="1" x14ac:dyDescent="0.35">
      <c r="A90" s="142"/>
      <c r="B90" s="142"/>
      <c r="C90" s="142"/>
      <c r="D90" s="142"/>
      <c r="E90" s="142"/>
      <c r="F90" s="142"/>
      <c r="G90" s="141"/>
      <c r="H90" s="188"/>
      <c r="I90" s="188"/>
      <c r="J90" s="188"/>
      <c r="K90" s="142"/>
      <c r="L90" s="187"/>
      <c r="M90" s="187"/>
      <c r="N90" s="187"/>
      <c r="O90" s="187"/>
      <c r="P90" s="187"/>
      <c r="Q90" s="187"/>
    </row>
    <row r="91" spans="1:17" ht="15.75" customHeight="1" x14ac:dyDescent="0.35">
      <c r="A91" s="142"/>
      <c r="B91" s="142"/>
      <c r="C91" s="142"/>
      <c r="D91" s="142"/>
      <c r="E91" s="142"/>
      <c r="F91" s="142"/>
      <c r="G91" s="141"/>
      <c r="H91" s="188"/>
      <c r="I91" s="188"/>
      <c r="J91" s="188"/>
      <c r="K91" s="142"/>
      <c r="L91" s="187"/>
      <c r="M91" s="187"/>
      <c r="N91" s="187"/>
      <c r="O91" s="187"/>
      <c r="P91" s="187"/>
      <c r="Q91" s="187"/>
    </row>
    <row r="92" spans="1:17" ht="18" customHeight="1" x14ac:dyDescent="0.35">
      <c r="A92" s="190" t="str">
        <f ca="1">IFERROR(IF(LEN(VLOOKUP($H95,control!$AF$2:$AG$65536,2,FALSE))&gt;300,LEFT(VLOOKUP($H95,control!$AF$2:$AG$65536,2,FALSE),300)&amp;" …",VLOOKUP($H95,control!$AF$2:$AG$65536,2,FALSE)),"")</f>
        <v>Проекты бюджетных смет расходов с расчетами (обоснованиями) органов государственной власти Брянской области, государственных органов Брянской области, государственных казенных учреждений Брянской области на 2018 - 2020 годы</v>
      </c>
      <c r="B92" s="190"/>
      <c r="C92" s="190"/>
      <c r="D92" s="190"/>
      <c r="E92" s="190"/>
      <c r="F92" s="190"/>
      <c r="G92" s="141"/>
      <c r="H92" s="143">
        <f>H86+1</f>
        <v>15</v>
      </c>
      <c r="I92" s="189"/>
      <c r="J92" s="143"/>
      <c r="K92" s="142"/>
      <c r="L92" s="187"/>
      <c r="M92" s="187"/>
      <c r="N92" s="187"/>
      <c r="O92" s="187"/>
      <c r="P92" s="187"/>
      <c r="Q92" s="187"/>
    </row>
    <row r="93" spans="1:17" x14ac:dyDescent="0.35">
      <c r="A93" s="190"/>
      <c r="B93" s="190"/>
      <c r="C93" s="190"/>
      <c r="D93" s="190"/>
      <c r="E93" s="190"/>
      <c r="F93" s="190"/>
      <c r="G93" s="141"/>
      <c r="H93" s="143"/>
      <c r="I93" s="189"/>
      <c r="J93" s="143"/>
      <c r="K93" s="142"/>
      <c r="L93" s="187"/>
      <c r="M93" s="187"/>
      <c r="N93" s="187"/>
      <c r="O93" s="187"/>
      <c r="P93" s="187"/>
      <c r="Q93" s="187"/>
    </row>
    <row r="94" spans="1:17" x14ac:dyDescent="0.35">
      <c r="A94" s="190"/>
      <c r="B94" s="190"/>
      <c r="C94" s="190"/>
      <c r="D94" s="190"/>
      <c r="E94" s="190"/>
      <c r="F94" s="190"/>
      <c r="G94" s="141"/>
      <c r="H94" s="143"/>
      <c r="I94" s="189"/>
      <c r="J94" s="143"/>
      <c r="K94" s="142"/>
      <c r="L94" s="187"/>
      <c r="M94" s="187"/>
      <c r="N94" s="187"/>
      <c r="O94" s="187"/>
      <c r="P94" s="187"/>
      <c r="Q94" s="187"/>
    </row>
    <row r="95" spans="1:17" ht="15.75" customHeight="1" x14ac:dyDescent="0.35">
      <c r="A95" s="190"/>
      <c r="B95" s="190"/>
      <c r="C95" s="190"/>
      <c r="D95" s="190"/>
      <c r="E95" s="190"/>
      <c r="F95" s="190"/>
      <c r="H95" s="188">
        <f ca="1">IF(COUNT(dates_end_nearest)&gt;=H98,SMALL(dates_end_nearest,H98),"")</f>
        <v>43365</v>
      </c>
      <c r="I95" s="188"/>
      <c r="J95" s="188"/>
    </row>
    <row r="96" spans="1:17" ht="15.75" customHeight="1" x14ac:dyDescent="0.35">
      <c r="A96" s="190"/>
      <c r="B96" s="190"/>
      <c r="C96" s="190"/>
      <c r="D96" s="190"/>
      <c r="E96" s="190"/>
      <c r="F96" s="190"/>
      <c r="H96" s="188"/>
      <c r="I96" s="188"/>
      <c r="J96" s="188"/>
    </row>
    <row r="97" spans="1:17" ht="15.75" customHeight="1" x14ac:dyDescent="0.35">
      <c r="A97" s="190"/>
      <c r="B97" s="190"/>
      <c r="C97" s="190"/>
      <c r="D97" s="190"/>
      <c r="E97" s="190"/>
      <c r="F97" s="190"/>
      <c r="H97" s="188"/>
      <c r="I97" s="188"/>
      <c r="J97" s="188"/>
    </row>
    <row r="98" spans="1:17" ht="18" customHeight="1" x14ac:dyDescent="0.35">
      <c r="A98" s="190"/>
      <c r="B98" s="190"/>
      <c r="C98" s="190"/>
      <c r="D98" s="190"/>
      <c r="E98" s="190"/>
      <c r="F98" s="190"/>
      <c r="H98" s="143">
        <f>H92+1</f>
        <v>16</v>
      </c>
      <c r="I98" s="189"/>
      <c r="J98" s="143"/>
      <c r="L98" s="187" t="str">
        <f ca="1">IFERROR(IF(LEN(VLOOKUP($H101,control!$AF$2:$AG$65536,2,FALSE))&gt;300,LEFT(VLOOKUP($H101,control!$AF$2:$AG$65536,2,FALSE),300)&amp;" …",VLOOKUP($H101,control!$AF$2:$AG$65536,2,FALSE)),"")</f>
        <v>Прогноз доходов и расходов бюджета территориального фонда обязательного медицинского страхования Брянской области с расчетами и обоснованиями на 2018 год и плановый период 2019 и 2020 годов</v>
      </c>
      <c r="M98" s="187"/>
      <c r="N98" s="187"/>
      <c r="O98" s="187"/>
      <c r="P98" s="187"/>
      <c r="Q98" s="187"/>
    </row>
    <row r="99" spans="1:17" x14ac:dyDescent="0.35">
      <c r="A99" s="190"/>
      <c r="B99" s="190"/>
      <c r="C99" s="190"/>
      <c r="D99" s="190"/>
      <c r="E99" s="190"/>
      <c r="F99" s="190"/>
      <c r="H99" s="143"/>
      <c r="I99" s="189"/>
      <c r="J99" s="143"/>
      <c r="L99" s="187"/>
      <c r="M99" s="187"/>
      <c r="N99" s="187"/>
      <c r="O99" s="187"/>
      <c r="P99" s="187"/>
      <c r="Q99" s="187"/>
    </row>
    <row r="100" spans="1:17" x14ac:dyDescent="0.35">
      <c r="A100" s="190"/>
      <c r="B100" s="190"/>
      <c r="C100" s="190"/>
      <c r="D100" s="190"/>
      <c r="E100" s="190"/>
      <c r="F100" s="190"/>
      <c r="H100" s="143"/>
      <c r="I100" s="189"/>
      <c r="J100" s="143"/>
      <c r="L100" s="187"/>
      <c r="M100" s="187"/>
      <c r="N100" s="187"/>
      <c r="O100" s="187"/>
      <c r="P100" s="187"/>
      <c r="Q100" s="187"/>
    </row>
    <row r="101" spans="1:17" ht="15.75" customHeight="1" x14ac:dyDescent="0.35">
      <c r="H101" s="188">
        <f ca="1">IF(COUNT(dates_end_nearest)&gt;=H104,SMALL(dates_end_nearest,H104),"")</f>
        <v>43372</v>
      </c>
      <c r="I101" s="188"/>
      <c r="J101" s="188"/>
      <c r="L101" s="187"/>
      <c r="M101" s="187"/>
      <c r="N101" s="187"/>
      <c r="O101" s="187"/>
      <c r="P101" s="187"/>
      <c r="Q101" s="187"/>
    </row>
    <row r="102" spans="1:17" ht="15.75" customHeight="1" x14ac:dyDescent="0.35">
      <c r="H102" s="188"/>
      <c r="I102" s="188"/>
      <c r="J102" s="188"/>
      <c r="L102" s="187"/>
      <c r="M102" s="187"/>
      <c r="N102" s="187"/>
      <c r="O102" s="187"/>
      <c r="P102" s="187"/>
      <c r="Q102" s="187"/>
    </row>
    <row r="103" spans="1:17" ht="15.75" customHeight="1" x14ac:dyDescent="0.35">
      <c r="H103" s="188"/>
      <c r="I103" s="188"/>
      <c r="J103" s="188"/>
      <c r="L103" s="187"/>
      <c r="M103" s="187"/>
      <c r="N103" s="187"/>
      <c r="O103" s="187"/>
      <c r="P103" s="187"/>
      <c r="Q103" s="187"/>
    </row>
    <row r="104" spans="1:17" ht="18" customHeight="1" x14ac:dyDescent="0.35">
      <c r="A104" s="190" t="str">
        <f ca="1">IFERROR(IF(LEN(VLOOKUP($H107,control!$AF$2:$AG$65536,2,FALSE))&gt;300,LEFT(VLOOKUP($H107,control!$AF$2:$AG$65536,2,FALSE),300)&amp;" …",VLOOKUP($H107,control!$AF$2:$AG$65536,2,FALSE)),"")</f>
        <v>Результаты оценки эффективности инвестиционных расходов в соответствии с нормативным правовым актом, регламентирующим вопросы инвестиционной деятельности</v>
      </c>
      <c r="B104" s="190"/>
      <c r="C104" s="190"/>
      <c r="D104" s="190"/>
      <c r="E104" s="190"/>
      <c r="F104" s="190"/>
      <c r="H104" s="143">
        <f>H98+1</f>
        <v>17</v>
      </c>
      <c r="I104" s="189"/>
      <c r="J104" s="143"/>
      <c r="L104" s="187"/>
      <c r="M104" s="187"/>
      <c r="N104" s="187"/>
      <c r="O104" s="187"/>
      <c r="P104" s="187"/>
      <c r="Q104" s="187"/>
    </row>
    <row r="105" spans="1:17" x14ac:dyDescent="0.35">
      <c r="A105" s="190"/>
      <c r="B105" s="190"/>
      <c r="C105" s="190"/>
      <c r="D105" s="190"/>
      <c r="E105" s="190"/>
      <c r="F105" s="190"/>
      <c r="H105" s="143"/>
      <c r="I105" s="189"/>
      <c r="J105" s="143"/>
      <c r="L105" s="187"/>
      <c r="M105" s="187"/>
      <c r="N105" s="187"/>
      <c r="O105" s="187"/>
      <c r="P105" s="187"/>
      <c r="Q105" s="187"/>
    </row>
    <row r="106" spans="1:17" x14ac:dyDescent="0.35">
      <c r="A106" s="190"/>
      <c r="B106" s="190"/>
      <c r="C106" s="190"/>
      <c r="D106" s="190"/>
      <c r="E106" s="190"/>
      <c r="F106" s="190"/>
      <c r="H106" s="143"/>
      <c r="I106" s="189"/>
      <c r="J106" s="143"/>
      <c r="L106" s="187"/>
      <c r="M106" s="187"/>
      <c r="N106" s="187"/>
      <c r="O106" s="187"/>
      <c r="P106" s="187"/>
      <c r="Q106" s="187"/>
    </row>
    <row r="107" spans="1:17" ht="15.75" customHeight="1" x14ac:dyDescent="0.35">
      <c r="A107" s="190"/>
      <c r="B107" s="190"/>
      <c r="C107" s="190"/>
      <c r="D107" s="190"/>
      <c r="E107" s="190"/>
      <c r="F107" s="190"/>
      <c r="H107" s="188">
        <f ca="1">IF(COUNT(dates_end_nearest)&gt;=H110,SMALL(dates_end_nearest,H110),"")</f>
        <v>43375</v>
      </c>
      <c r="I107" s="188"/>
      <c r="J107" s="188"/>
    </row>
    <row r="108" spans="1:17" ht="15.75" customHeight="1" x14ac:dyDescent="0.35">
      <c r="A108" s="190"/>
      <c r="B108" s="190"/>
      <c r="C108" s="190"/>
      <c r="D108" s="190"/>
      <c r="E108" s="190"/>
      <c r="F108" s="190"/>
      <c r="H108" s="188"/>
      <c r="I108" s="188"/>
      <c r="J108" s="188"/>
    </row>
    <row r="109" spans="1:17" ht="15.75" customHeight="1" x14ac:dyDescent="0.35">
      <c r="A109" s="190"/>
      <c r="B109" s="190"/>
      <c r="C109" s="190"/>
      <c r="D109" s="190"/>
      <c r="E109" s="190"/>
      <c r="F109" s="190"/>
      <c r="H109" s="188"/>
      <c r="I109" s="188"/>
      <c r="J109" s="188"/>
    </row>
    <row r="110" spans="1:17" ht="18" customHeight="1" x14ac:dyDescent="0.35">
      <c r="A110" s="190"/>
      <c r="B110" s="190"/>
      <c r="C110" s="190"/>
      <c r="D110" s="190"/>
      <c r="E110" s="190"/>
      <c r="F110" s="190"/>
      <c r="H110" s="143">
        <f>H104+1</f>
        <v>18</v>
      </c>
      <c r="I110" s="189"/>
      <c r="J110" s="143"/>
      <c r="L110" s="187" t="str">
        <f ca="1">IFERROR(IF(LEN(VLOOKUP($H113,control!$AF$2:$AG$65536,2,FALSE))&gt;300,LEFT(VLOOKUP($H113,control!$AF$2:$AG$65536,2,FALSE),300)&amp;" …",VLOOKUP($H113,control!$AF$2:$AG$65536,2,FALSE)),"")</f>
        <v>Проекты нормативных правовых актов о внесении изменений в государственные программы Брянской области на 2014 – 2020 годы</v>
      </c>
      <c r="M110" s="187"/>
      <c r="N110" s="187"/>
      <c r="O110" s="187"/>
      <c r="P110" s="187"/>
      <c r="Q110" s="187"/>
    </row>
    <row r="111" spans="1:17" x14ac:dyDescent="0.35">
      <c r="A111" s="190"/>
      <c r="B111" s="190"/>
      <c r="C111" s="190"/>
      <c r="D111" s="190"/>
      <c r="E111" s="190"/>
      <c r="F111" s="190"/>
      <c r="H111" s="143"/>
      <c r="I111" s="189"/>
      <c r="J111" s="143"/>
      <c r="L111" s="187"/>
      <c r="M111" s="187"/>
      <c r="N111" s="187"/>
      <c r="O111" s="187"/>
      <c r="P111" s="187"/>
      <c r="Q111" s="187"/>
    </row>
    <row r="112" spans="1:17" x14ac:dyDescent="0.35">
      <c r="A112" s="190"/>
      <c r="B112" s="190"/>
      <c r="C112" s="190"/>
      <c r="D112" s="190"/>
      <c r="E112" s="190"/>
      <c r="F112" s="190"/>
      <c r="H112" s="143"/>
      <c r="I112" s="189"/>
      <c r="J112" s="143"/>
      <c r="L112" s="187"/>
      <c r="M112" s="187"/>
      <c r="N112" s="187"/>
      <c r="O112" s="187"/>
      <c r="P112" s="187"/>
      <c r="Q112" s="187"/>
    </row>
    <row r="113" spans="1:17" ht="15.75" customHeight="1" x14ac:dyDescent="0.35">
      <c r="H113" s="188">
        <f ca="1">IF(COUNT(dates_end_nearest)&gt;=H116,SMALL(dates_end_nearest,H116),"")</f>
        <v>43389</v>
      </c>
      <c r="I113" s="188"/>
      <c r="J113" s="188"/>
      <c r="L113" s="187"/>
      <c r="M113" s="187"/>
      <c r="N113" s="187"/>
      <c r="O113" s="187"/>
      <c r="P113" s="187"/>
      <c r="Q113" s="187"/>
    </row>
    <row r="114" spans="1:17" ht="15.75" customHeight="1" x14ac:dyDescent="0.35">
      <c r="H114" s="188"/>
      <c r="I114" s="188"/>
      <c r="J114" s="188"/>
      <c r="L114" s="187"/>
      <c r="M114" s="187"/>
      <c r="N114" s="187"/>
      <c r="O114" s="187"/>
      <c r="P114" s="187"/>
      <c r="Q114" s="187"/>
    </row>
    <row r="115" spans="1:17" ht="15.75" customHeight="1" x14ac:dyDescent="0.35">
      <c r="H115" s="188"/>
      <c r="I115" s="188"/>
      <c r="J115" s="188"/>
      <c r="L115" s="187"/>
      <c r="M115" s="187"/>
      <c r="N115" s="187"/>
      <c r="O115" s="187"/>
      <c r="P115" s="187"/>
      <c r="Q115" s="187"/>
    </row>
    <row r="116" spans="1:17" ht="18" customHeight="1" x14ac:dyDescent="0.35">
      <c r="A116" s="190" t="str">
        <f ca="1">IFERROR(IF(LEN(VLOOKUP($H119,control!$AF$2:$AG$65536,2,FALSE))&gt;300,LEFT(VLOOKUP($H119,control!$AF$2:$AG$65536,2,FALSE),300)&amp;" …",VLOOKUP($H119,control!$AF$2:$AG$65536,2,FALSE)),"")</f>
        <v>Проект бюджета территориального фонда обязательного медицинского страхования Брянской области на 2018 год и на плановый период 2019 и 2020 годов</v>
      </c>
      <c r="B116" s="190"/>
      <c r="C116" s="190"/>
      <c r="D116" s="190"/>
      <c r="E116" s="190"/>
      <c r="F116" s="190"/>
      <c r="H116" s="143">
        <f>H110+1</f>
        <v>19</v>
      </c>
      <c r="I116" s="189"/>
      <c r="J116" s="143"/>
      <c r="L116" s="187"/>
      <c r="M116" s="187"/>
      <c r="N116" s="187"/>
      <c r="O116" s="187"/>
      <c r="P116" s="187"/>
      <c r="Q116" s="187"/>
    </row>
    <row r="117" spans="1:17" x14ac:dyDescent="0.35">
      <c r="A117" s="190"/>
      <c r="B117" s="190"/>
      <c r="C117" s="190"/>
      <c r="D117" s="190"/>
      <c r="E117" s="190"/>
      <c r="F117" s="190"/>
      <c r="H117" s="143"/>
      <c r="I117" s="189"/>
      <c r="J117" s="143"/>
      <c r="L117" s="187"/>
      <c r="M117" s="187"/>
      <c r="N117" s="187"/>
      <c r="O117" s="187"/>
      <c r="P117" s="187"/>
      <c r="Q117" s="187"/>
    </row>
    <row r="118" spans="1:17" x14ac:dyDescent="0.35">
      <c r="A118" s="190"/>
      <c r="B118" s="190"/>
      <c r="C118" s="190"/>
      <c r="D118" s="190"/>
      <c r="E118" s="190"/>
      <c r="F118" s="190"/>
      <c r="H118" s="143"/>
      <c r="I118" s="189"/>
      <c r="J118" s="143"/>
      <c r="L118" s="187"/>
      <c r="M118" s="187"/>
      <c r="N118" s="187"/>
      <c r="O118" s="187"/>
      <c r="P118" s="187"/>
      <c r="Q118" s="187"/>
    </row>
    <row r="119" spans="1:17" ht="15.75" customHeight="1" x14ac:dyDescent="0.35">
      <c r="A119" s="190"/>
      <c r="B119" s="190"/>
      <c r="C119" s="190"/>
      <c r="D119" s="190"/>
      <c r="E119" s="190"/>
      <c r="F119" s="190"/>
      <c r="H119" s="188">
        <f ca="1">IF(COUNT(dates_end_nearest)&gt;=H122,SMALL(dates_end_nearest,H122),"")</f>
        <v>43398</v>
      </c>
      <c r="I119" s="188"/>
      <c r="J119" s="188"/>
    </row>
    <row r="120" spans="1:17" ht="15.75" customHeight="1" x14ac:dyDescent="0.35">
      <c r="A120" s="190"/>
      <c r="B120" s="190"/>
      <c r="C120" s="190"/>
      <c r="D120" s="190"/>
      <c r="E120" s="190"/>
      <c r="F120" s="190"/>
      <c r="H120" s="188"/>
      <c r="I120" s="188"/>
      <c r="J120" s="188"/>
    </row>
    <row r="121" spans="1:17" ht="15.75" customHeight="1" x14ac:dyDescent="0.35">
      <c r="A121" s="190"/>
      <c r="B121" s="190"/>
      <c r="C121" s="190"/>
      <c r="D121" s="190"/>
      <c r="E121" s="190"/>
      <c r="F121" s="190"/>
      <c r="H121" s="188"/>
      <c r="I121" s="188"/>
      <c r="J121" s="188"/>
    </row>
    <row r="122" spans="1:17" ht="18" customHeight="1" x14ac:dyDescent="0.35">
      <c r="A122" s="190"/>
      <c r="B122" s="190"/>
      <c r="C122" s="190"/>
      <c r="D122" s="190"/>
      <c r="E122" s="190"/>
      <c r="F122" s="190"/>
      <c r="H122" s="143">
        <f>H116+1</f>
        <v>20</v>
      </c>
      <c r="I122" s="189"/>
      <c r="J122" s="143"/>
      <c r="L122" s="187" t="str">
        <f ca="1">IFERROR(IF(LEN(VLOOKUP($H125,control!$AF$2:$AG$65536,2,FALSE))&gt;300,LEFT(VLOOKUP($H125,control!$AF$2:$AG$65536,2,FALSE),300)&amp;" …",VLOOKUP($H125,control!$AF$2:$AG$65536,2,FALSE)),"")</f>
        <v>Уплата юридическими лицами налога на прибыль организаций (ежеквартальные авансовые платежи)</v>
      </c>
      <c r="M122" s="187"/>
      <c r="N122" s="187"/>
      <c r="O122" s="187"/>
      <c r="P122" s="187"/>
      <c r="Q122" s="187"/>
    </row>
    <row r="123" spans="1:17" x14ac:dyDescent="0.35">
      <c r="A123" s="190"/>
      <c r="B123" s="190"/>
      <c r="C123" s="190"/>
      <c r="D123" s="190"/>
      <c r="E123" s="190"/>
      <c r="F123" s="190"/>
      <c r="H123" s="143"/>
      <c r="I123" s="189"/>
      <c r="J123" s="143"/>
      <c r="L123" s="187"/>
      <c r="M123" s="187"/>
      <c r="N123" s="187"/>
      <c r="O123" s="187"/>
      <c r="P123" s="187"/>
      <c r="Q123" s="187"/>
    </row>
    <row r="124" spans="1:17" x14ac:dyDescent="0.35">
      <c r="A124" s="190"/>
      <c r="B124" s="190"/>
      <c r="C124" s="190"/>
      <c r="D124" s="190"/>
      <c r="E124" s="190"/>
      <c r="F124" s="190"/>
      <c r="H124" s="143"/>
      <c r="I124" s="189"/>
      <c r="J124" s="143"/>
      <c r="L124" s="187"/>
      <c r="M124" s="187"/>
      <c r="N124" s="187"/>
      <c r="O124" s="187"/>
      <c r="P124" s="187"/>
      <c r="Q124" s="187"/>
    </row>
    <row r="125" spans="1:17" ht="15.75" customHeight="1" x14ac:dyDescent="0.35">
      <c r="H125" s="188">
        <f ca="1">IF(COUNT(dates_end_nearest)&gt;=H128,SMALL(dates_end_nearest,H128),"")</f>
        <v>43402</v>
      </c>
      <c r="I125" s="188"/>
      <c r="J125" s="188"/>
      <c r="L125" s="187"/>
      <c r="M125" s="187"/>
      <c r="N125" s="187"/>
      <c r="O125" s="187"/>
      <c r="P125" s="187"/>
      <c r="Q125" s="187"/>
    </row>
    <row r="126" spans="1:17" ht="15.75" customHeight="1" x14ac:dyDescent="0.35">
      <c r="H126" s="188"/>
      <c r="I126" s="188"/>
      <c r="J126" s="188"/>
      <c r="L126" s="187"/>
      <c r="M126" s="187"/>
      <c r="N126" s="187"/>
      <c r="O126" s="187"/>
      <c r="P126" s="187"/>
      <c r="Q126" s="187"/>
    </row>
    <row r="127" spans="1:17" ht="15.75" customHeight="1" x14ac:dyDescent="0.35">
      <c r="H127" s="188"/>
      <c r="I127" s="188"/>
      <c r="J127" s="188"/>
      <c r="L127" s="187"/>
      <c r="M127" s="187"/>
      <c r="N127" s="187"/>
      <c r="O127" s="187"/>
      <c r="P127" s="187"/>
      <c r="Q127" s="187"/>
    </row>
    <row r="128" spans="1:17" ht="18" customHeight="1" x14ac:dyDescent="0.35">
      <c r="A128" s="190" t="str">
        <f ca="1">IFERROR(IF(LEN(VLOOKUP($H131,control!$AF$2:$AG$65536,2,FALSE))&gt;300,LEFT(VLOOKUP($H131,control!$AF$2:$AG$65536,2,FALSE),300)&amp;" …",VLOOKUP($H131,control!$AF$2:$AG$65536,2,FALSE)),"")</f>
        <v>Мониторинг качества управления муниципальными финансами (III квартал)</v>
      </c>
      <c r="B128" s="190"/>
      <c r="C128" s="190"/>
      <c r="D128" s="190"/>
      <c r="E128" s="190"/>
      <c r="F128" s="190"/>
      <c r="H128" s="143">
        <f>H122+1</f>
        <v>21</v>
      </c>
      <c r="I128" s="189"/>
      <c r="J128" s="143"/>
      <c r="L128" s="187"/>
      <c r="M128" s="187"/>
      <c r="N128" s="187"/>
      <c r="O128" s="187"/>
      <c r="P128" s="187"/>
      <c r="Q128" s="187"/>
    </row>
    <row r="129" spans="1:17" x14ac:dyDescent="0.35">
      <c r="A129" s="190"/>
      <c r="B129" s="190"/>
      <c r="C129" s="190"/>
      <c r="D129" s="190"/>
      <c r="E129" s="190"/>
      <c r="F129" s="190"/>
      <c r="H129" s="143"/>
      <c r="I129" s="189"/>
      <c r="J129" s="143"/>
      <c r="L129" s="187"/>
      <c r="M129" s="187"/>
      <c r="N129" s="187"/>
      <c r="O129" s="187"/>
      <c r="P129" s="187"/>
      <c r="Q129" s="187"/>
    </row>
    <row r="130" spans="1:17" x14ac:dyDescent="0.35">
      <c r="A130" s="190"/>
      <c r="B130" s="190"/>
      <c r="C130" s="190"/>
      <c r="D130" s="190"/>
      <c r="E130" s="190"/>
      <c r="F130" s="190"/>
      <c r="H130" s="143"/>
      <c r="I130" s="189"/>
      <c r="J130" s="143"/>
      <c r="L130" s="187"/>
      <c r="M130" s="187"/>
      <c r="N130" s="187"/>
      <c r="O130" s="187"/>
      <c r="P130" s="187"/>
      <c r="Q130" s="187"/>
    </row>
    <row r="131" spans="1:17" ht="15.75" customHeight="1" x14ac:dyDescent="0.35">
      <c r="A131" s="190"/>
      <c r="B131" s="190"/>
      <c r="C131" s="190"/>
      <c r="D131" s="190"/>
      <c r="E131" s="190"/>
      <c r="F131" s="190"/>
      <c r="H131" s="188">
        <f ca="1">IF(COUNT(dates_end_nearest)&gt;=H134,SMALL(dates_end_nearest,H134),"")</f>
        <v>43403</v>
      </c>
      <c r="I131" s="188"/>
      <c r="J131" s="188"/>
    </row>
    <row r="132" spans="1:17" ht="15.75" customHeight="1" x14ac:dyDescent="0.35">
      <c r="A132" s="190"/>
      <c r="B132" s="190"/>
      <c r="C132" s="190"/>
      <c r="D132" s="190"/>
      <c r="E132" s="190"/>
      <c r="F132" s="190"/>
      <c r="H132" s="188"/>
      <c r="I132" s="188"/>
      <c r="J132" s="188"/>
    </row>
    <row r="133" spans="1:17" ht="15.75" customHeight="1" x14ac:dyDescent="0.35">
      <c r="A133" s="190"/>
      <c r="B133" s="190"/>
      <c r="C133" s="190"/>
      <c r="D133" s="190"/>
      <c r="E133" s="190"/>
      <c r="F133" s="190"/>
      <c r="H133" s="188"/>
      <c r="I133" s="188"/>
      <c r="J133" s="188"/>
    </row>
    <row r="134" spans="1:17" ht="18" customHeight="1" x14ac:dyDescent="0.35">
      <c r="A134" s="190"/>
      <c r="B134" s="190"/>
      <c r="C134" s="190"/>
      <c r="D134" s="190"/>
      <c r="E134" s="190"/>
      <c r="F134" s="190"/>
      <c r="H134" s="143">
        <f>H128+1</f>
        <v>22</v>
      </c>
      <c r="I134" s="189"/>
      <c r="J134" s="143"/>
      <c r="L134" s="187" t="str">
        <f ca="1">IFERROR(IF(LEN(VLOOKUP($H137,control!$AF$2:$AG$65536,2,FALSE))&gt;300,LEFT(VLOOKUP($H137,control!$AF$2:$AG$65536,2,FALSE),300)&amp;" …",VLOOKUP($H137,control!$AF$2:$AG$65536,2,FALSE)),"")</f>
        <v>Уплата юридическими лицами налога на имущество организаций</v>
      </c>
      <c r="M134" s="187"/>
      <c r="N134" s="187"/>
      <c r="O134" s="187"/>
      <c r="P134" s="187"/>
      <c r="Q134" s="187"/>
    </row>
    <row r="135" spans="1:17" x14ac:dyDescent="0.35">
      <c r="A135" s="190"/>
      <c r="B135" s="190"/>
      <c r="C135" s="190"/>
      <c r="D135" s="190"/>
      <c r="E135" s="190"/>
      <c r="F135" s="190"/>
      <c r="H135" s="143"/>
      <c r="I135" s="189"/>
      <c r="J135" s="143"/>
      <c r="L135" s="187"/>
      <c r="M135" s="187"/>
      <c r="N135" s="187"/>
      <c r="O135" s="187"/>
      <c r="P135" s="187"/>
      <c r="Q135" s="187"/>
    </row>
    <row r="136" spans="1:17" x14ac:dyDescent="0.35">
      <c r="A136" s="190"/>
      <c r="B136" s="190"/>
      <c r="C136" s="190"/>
      <c r="D136" s="190"/>
      <c r="E136" s="190"/>
      <c r="F136" s="190"/>
      <c r="H136" s="143"/>
      <c r="I136" s="189"/>
      <c r="J136" s="143"/>
      <c r="L136" s="187"/>
      <c r="M136" s="187"/>
      <c r="N136" s="187"/>
      <c r="O136" s="187"/>
      <c r="P136" s="187"/>
      <c r="Q136" s="187"/>
    </row>
    <row r="137" spans="1:17" ht="15.75" customHeight="1" x14ac:dyDescent="0.35">
      <c r="H137" s="188">
        <f ca="1">IF(COUNT(dates_end_nearest)&gt;=H140,SMALL(dates_end_nearest,H140),"")</f>
        <v>43404</v>
      </c>
      <c r="I137" s="188"/>
      <c r="J137" s="188"/>
      <c r="L137" s="187"/>
      <c r="M137" s="187"/>
      <c r="N137" s="187"/>
      <c r="O137" s="187"/>
      <c r="P137" s="187"/>
      <c r="Q137" s="187"/>
    </row>
    <row r="138" spans="1:17" ht="15.75" customHeight="1" x14ac:dyDescent="0.35">
      <c r="H138" s="188"/>
      <c r="I138" s="188"/>
      <c r="J138" s="188"/>
      <c r="L138" s="187"/>
      <c r="M138" s="187"/>
      <c r="N138" s="187"/>
      <c r="O138" s="187"/>
      <c r="P138" s="187"/>
      <c r="Q138" s="187"/>
    </row>
    <row r="139" spans="1:17" ht="15.75" customHeight="1" x14ac:dyDescent="0.35">
      <c r="H139" s="188"/>
      <c r="I139" s="188"/>
      <c r="J139" s="188"/>
      <c r="L139" s="187"/>
      <c r="M139" s="187"/>
      <c r="N139" s="187"/>
      <c r="O139" s="187"/>
      <c r="P139" s="187"/>
      <c r="Q139" s="187"/>
    </row>
    <row r="140" spans="1:17" ht="18" customHeight="1" x14ac:dyDescent="0.35">
      <c r="A140" s="190" t="str">
        <f ca="1">IFERROR(IF(LEN(VLOOKUP($H143,control!$AF$2:$AG$65536,2,FALSE))&gt;300,LEFT(VLOOKUP($H143,control!$AF$2:$AG$65536,2,FALSE),300)&amp;" …",VLOOKUP($H143,control!$AF$2:$AG$65536,2,FALSE)),"")</f>
        <v>Внесение проекта бюджета на очередной финансовый год и на плановый период на рассмотрение Брянской областной Думы</v>
      </c>
      <c r="B140" s="190"/>
      <c r="C140" s="190"/>
      <c r="D140" s="190"/>
      <c r="E140" s="190"/>
      <c r="F140" s="190"/>
      <c r="H140" s="143">
        <f>H134+1</f>
        <v>23</v>
      </c>
      <c r="I140" s="189"/>
      <c r="J140" s="143"/>
      <c r="L140" s="187"/>
      <c r="M140" s="187"/>
      <c r="N140" s="187"/>
      <c r="O140" s="187"/>
      <c r="P140" s="187"/>
      <c r="Q140" s="187"/>
    </row>
    <row r="141" spans="1:17" x14ac:dyDescent="0.35">
      <c r="A141" s="190"/>
      <c r="B141" s="190"/>
      <c r="C141" s="190"/>
      <c r="D141" s="190"/>
      <c r="E141" s="190"/>
      <c r="F141" s="190"/>
      <c r="H141" s="143"/>
      <c r="I141" s="189"/>
      <c r="J141" s="143"/>
      <c r="L141" s="187"/>
      <c r="M141" s="187"/>
      <c r="N141" s="187"/>
      <c r="O141" s="187"/>
      <c r="P141" s="187"/>
      <c r="Q141" s="187"/>
    </row>
    <row r="142" spans="1:17" x14ac:dyDescent="0.35">
      <c r="A142" s="190"/>
      <c r="B142" s="190"/>
      <c r="C142" s="190"/>
      <c r="D142" s="190"/>
      <c r="E142" s="190"/>
      <c r="F142" s="190"/>
      <c r="H142" s="143"/>
      <c r="I142" s="189"/>
      <c r="J142" s="143"/>
      <c r="L142" s="187"/>
      <c r="M142" s="187"/>
      <c r="N142" s="187"/>
      <c r="O142" s="187"/>
      <c r="P142" s="187"/>
      <c r="Q142" s="187"/>
    </row>
    <row r="143" spans="1:17" ht="15.75" customHeight="1" x14ac:dyDescent="0.35">
      <c r="A143" s="190"/>
      <c r="B143" s="190"/>
      <c r="C143" s="190"/>
      <c r="D143" s="190"/>
      <c r="E143" s="190"/>
      <c r="F143" s="190"/>
      <c r="H143" s="188">
        <f ca="1">IF(COUNT(dates_end_nearest)&gt;=H146,SMALL(dates_end_nearest,H146),"")</f>
        <v>43405</v>
      </c>
      <c r="I143" s="188"/>
      <c r="J143" s="188"/>
    </row>
    <row r="144" spans="1:17" ht="15.75" customHeight="1" x14ac:dyDescent="0.35">
      <c r="A144" s="190"/>
      <c r="B144" s="190"/>
      <c r="C144" s="190"/>
      <c r="D144" s="190"/>
      <c r="E144" s="190"/>
      <c r="F144" s="190"/>
      <c r="H144" s="188"/>
      <c r="I144" s="188"/>
      <c r="J144" s="188"/>
    </row>
    <row r="145" spans="1:17" ht="15.75" customHeight="1" x14ac:dyDescent="0.35">
      <c r="A145" s="190"/>
      <c r="B145" s="190"/>
      <c r="C145" s="190"/>
      <c r="D145" s="190"/>
      <c r="E145" s="190"/>
      <c r="F145" s="190"/>
      <c r="H145" s="188"/>
      <c r="I145" s="188"/>
      <c r="J145" s="188"/>
    </row>
    <row r="146" spans="1:17" ht="18" customHeight="1" x14ac:dyDescent="0.35">
      <c r="A146" s="190"/>
      <c r="B146" s="190"/>
      <c r="C146" s="190"/>
      <c r="D146" s="190"/>
      <c r="E146" s="190"/>
      <c r="F146" s="190"/>
      <c r="H146" s="143">
        <f>H140+1</f>
        <v>24</v>
      </c>
      <c r="I146" s="189"/>
      <c r="J146" s="143"/>
      <c r="L146" s="187" t="str">
        <f ca="1">IFERROR(IF(LEN(VLOOKUP($H149,control!$AF$2:$AG$65536,2,FALSE))&gt;300,LEFT(VLOOKUP($H149,control!$AF$2:$AG$65536,2,FALSE),300)&amp;" …",VLOOKUP($H149,control!$AF$2:$AG$65536,2,FALSE)),"")</f>
        <v>Организация и проведение публичных слушаний по проекту закона о бюджете на очередной финансовый год и на плановый период</v>
      </c>
      <c r="M146" s="187"/>
      <c r="N146" s="187"/>
      <c r="O146" s="187"/>
      <c r="P146" s="187"/>
      <c r="Q146" s="187"/>
    </row>
    <row r="147" spans="1:17" x14ac:dyDescent="0.35">
      <c r="A147" s="190"/>
      <c r="B147" s="190"/>
      <c r="C147" s="190"/>
      <c r="D147" s="190"/>
      <c r="E147" s="190"/>
      <c r="F147" s="190"/>
      <c r="H147" s="143"/>
      <c r="I147" s="189"/>
      <c r="J147" s="143"/>
      <c r="L147" s="187"/>
      <c r="M147" s="187"/>
      <c r="N147" s="187"/>
      <c r="O147" s="187"/>
      <c r="P147" s="187"/>
      <c r="Q147" s="187"/>
    </row>
    <row r="148" spans="1:17" x14ac:dyDescent="0.35">
      <c r="A148" s="190"/>
      <c r="B148" s="190"/>
      <c r="C148" s="190"/>
      <c r="D148" s="190"/>
      <c r="E148" s="190"/>
      <c r="F148" s="190"/>
      <c r="H148" s="143"/>
      <c r="I148" s="189"/>
      <c r="J148" s="143"/>
      <c r="L148" s="187"/>
      <c r="M148" s="187"/>
      <c r="N148" s="187"/>
      <c r="O148" s="187"/>
      <c r="P148" s="187"/>
      <c r="Q148" s="187"/>
    </row>
    <row r="149" spans="1:17" ht="15.75" customHeight="1" x14ac:dyDescent="0.35">
      <c r="H149" s="188">
        <f ca="1">IF(COUNT(dates_end_nearest)&gt;=H152,SMALL(dates_end_nearest,H152),"")</f>
        <v>43423</v>
      </c>
      <c r="I149" s="188"/>
      <c r="J149" s="188"/>
      <c r="L149" s="187"/>
      <c r="M149" s="187"/>
      <c r="N149" s="187"/>
      <c r="O149" s="187"/>
      <c r="P149" s="187"/>
      <c r="Q149" s="187"/>
    </row>
    <row r="150" spans="1:17" ht="15.75" customHeight="1" x14ac:dyDescent="0.35">
      <c r="H150" s="188"/>
      <c r="I150" s="188"/>
      <c r="J150" s="188"/>
      <c r="L150" s="187"/>
      <c r="M150" s="187"/>
      <c r="N150" s="187"/>
      <c r="O150" s="187"/>
      <c r="P150" s="187"/>
      <c r="Q150" s="187"/>
    </row>
    <row r="151" spans="1:17" ht="15.75" customHeight="1" x14ac:dyDescent="0.35">
      <c r="H151" s="188"/>
      <c r="I151" s="188"/>
      <c r="J151" s="188"/>
      <c r="L151" s="187"/>
      <c r="M151" s="187"/>
      <c r="N151" s="187"/>
      <c r="O151" s="187"/>
      <c r="P151" s="187"/>
      <c r="Q151" s="187"/>
    </row>
    <row r="152" spans="1:17" ht="18" customHeight="1" x14ac:dyDescent="0.35">
      <c r="A152" s="190" t="str">
        <f ca="1">IFERROR(IF(LEN(VLOOKUP($H155,control!$AF$2:$AG$65536,2,FALSE))&gt;300,LEFT(VLOOKUP($H155,control!$AF$2:$AG$65536,2,FALSE),300)&amp;" …",VLOOKUP($H155,control!$AF$2:$AG$65536,2,FALSE)),"")</f>
        <v>Уплата физическими лицами земельного налога</v>
      </c>
      <c r="B152" s="190"/>
      <c r="C152" s="190"/>
      <c r="D152" s="190"/>
      <c r="E152" s="190"/>
      <c r="F152" s="190"/>
      <c r="H152" s="143">
        <f>H146+1</f>
        <v>25</v>
      </c>
      <c r="I152" s="189"/>
      <c r="J152" s="143"/>
      <c r="L152" s="187"/>
      <c r="M152" s="187"/>
      <c r="N152" s="187"/>
      <c r="O152" s="187"/>
      <c r="P152" s="187"/>
      <c r="Q152" s="187"/>
    </row>
    <row r="153" spans="1:17" x14ac:dyDescent="0.35">
      <c r="A153" s="190"/>
      <c r="B153" s="190"/>
      <c r="C153" s="190"/>
      <c r="D153" s="190"/>
      <c r="E153" s="190"/>
      <c r="F153" s="190"/>
      <c r="H153" s="143"/>
      <c r="I153" s="189"/>
      <c r="J153" s="143"/>
      <c r="L153" s="187"/>
      <c r="M153" s="187"/>
      <c r="N153" s="187"/>
      <c r="O153" s="187"/>
      <c r="P153" s="187"/>
      <c r="Q153" s="187"/>
    </row>
    <row r="154" spans="1:17" x14ac:dyDescent="0.35">
      <c r="A154" s="190"/>
      <c r="B154" s="190"/>
      <c r="C154" s="190"/>
      <c r="D154" s="190"/>
      <c r="E154" s="190"/>
      <c r="F154" s="190"/>
      <c r="H154" s="143"/>
      <c r="I154" s="189"/>
      <c r="J154" s="143"/>
      <c r="L154" s="187"/>
      <c r="M154" s="187"/>
      <c r="N154" s="187"/>
      <c r="O154" s="187"/>
      <c r="P154" s="187"/>
      <c r="Q154" s="187"/>
    </row>
    <row r="155" spans="1:17" ht="15.75" customHeight="1" x14ac:dyDescent="0.35">
      <c r="A155" s="190"/>
      <c r="B155" s="190"/>
      <c r="C155" s="190"/>
      <c r="D155" s="190"/>
      <c r="E155" s="190"/>
      <c r="F155" s="190"/>
      <c r="H155" s="188">
        <f ca="1">IF(COUNT(dates_end_nearest)&gt;=H158,SMALL(dates_end_nearest,H158),"")</f>
        <v>43437</v>
      </c>
      <c r="I155" s="188"/>
      <c r="J155" s="188"/>
    </row>
    <row r="156" spans="1:17" ht="15.75" customHeight="1" x14ac:dyDescent="0.35">
      <c r="A156" s="190"/>
      <c r="B156" s="190"/>
      <c r="C156" s="190"/>
      <c r="D156" s="190"/>
      <c r="E156" s="190"/>
      <c r="F156" s="190"/>
      <c r="H156" s="188"/>
      <c r="I156" s="188"/>
      <c r="J156" s="188"/>
    </row>
    <row r="157" spans="1:17" ht="15.75" customHeight="1" x14ac:dyDescent="0.35">
      <c r="A157" s="190"/>
      <c r="B157" s="190"/>
      <c r="C157" s="190"/>
      <c r="D157" s="190"/>
      <c r="E157" s="190"/>
      <c r="F157" s="190"/>
      <c r="H157" s="188"/>
      <c r="I157" s="188"/>
      <c r="J157" s="188"/>
    </row>
    <row r="158" spans="1:17" ht="18" customHeight="1" x14ac:dyDescent="0.35">
      <c r="A158" s="190"/>
      <c r="B158" s="190"/>
      <c r="C158" s="190"/>
      <c r="D158" s="190"/>
      <c r="E158" s="190"/>
      <c r="F158" s="190"/>
      <c r="H158" s="143">
        <f>H152+1</f>
        <v>26</v>
      </c>
      <c r="I158" s="189"/>
      <c r="J158" s="143"/>
      <c r="L158" s="187" t="str">
        <f ca="1">IFERROR(IF(LEN(VLOOKUP($H161,control!$AF$2:$AG$65536,2,FALSE))&gt;300,LEFT(VLOOKUP($H161,control!$AF$2:$AG$65536,2,FALSE),300)&amp;" …",VLOOKUP($H161,control!$AF$2:$AG$65536,2,FALSE)),"")</f>
        <v>Государственные задания на оказание государственными учреждениями Брянской области государственных услуг (выполнение работ)</v>
      </c>
      <c r="M158" s="187"/>
      <c r="N158" s="187"/>
      <c r="O158" s="187"/>
      <c r="P158" s="187"/>
      <c r="Q158" s="187"/>
    </row>
    <row r="159" spans="1:17" x14ac:dyDescent="0.35">
      <c r="A159" s="190"/>
      <c r="B159" s="190"/>
      <c r="C159" s="190"/>
      <c r="D159" s="190"/>
      <c r="E159" s="190"/>
      <c r="F159" s="190"/>
      <c r="H159" s="143"/>
      <c r="I159" s="189"/>
      <c r="J159" s="143"/>
      <c r="L159" s="187"/>
      <c r="M159" s="187"/>
      <c r="N159" s="187"/>
      <c r="O159" s="187"/>
      <c r="P159" s="187"/>
      <c r="Q159" s="187"/>
    </row>
    <row r="160" spans="1:17" x14ac:dyDescent="0.35">
      <c r="A160" s="190"/>
      <c r="B160" s="190"/>
      <c r="C160" s="190"/>
      <c r="D160" s="190"/>
      <c r="E160" s="190"/>
      <c r="F160" s="190"/>
      <c r="H160" s="143"/>
      <c r="I160" s="189"/>
      <c r="J160" s="143"/>
      <c r="L160" s="187"/>
      <c r="M160" s="187"/>
      <c r="N160" s="187"/>
      <c r="O160" s="187"/>
      <c r="P160" s="187"/>
      <c r="Q160" s="187"/>
    </row>
    <row r="161" spans="1:17" ht="15.75" customHeight="1" x14ac:dyDescent="0.35">
      <c r="H161" s="188">
        <f ca="1">IF(COUNT(dates_end_nearest)&gt;=H164,SMALL(dates_end_nearest,H164),"")</f>
        <v>43463</v>
      </c>
      <c r="I161" s="188"/>
      <c r="J161" s="188"/>
      <c r="L161" s="187"/>
      <c r="M161" s="187"/>
      <c r="N161" s="187"/>
      <c r="O161" s="187"/>
      <c r="P161" s="187"/>
      <c r="Q161" s="187"/>
    </row>
    <row r="162" spans="1:17" ht="15.75" customHeight="1" x14ac:dyDescent="0.35">
      <c r="H162" s="188"/>
      <c r="I162" s="188"/>
      <c r="J162" s="188"/>
      <c r="L162" s="187"/>
      <c r="M162" s="187"/>
      <c r="N162" s="187"/>
      <c r="O162" s="187"/>
      <c r="P162" s="187"/>
      <c r="Q162" s="187"/>
    </row>
    <row r="163" spans="1:17" ht="15.75" customHeight="1" x14ac:dyDescent="0.35">
      <c r="H163" s="188"/>
      <c r="I163" s="188"/>
      <c r="J163" s="188"/>
      <c r="L163" s="187"/>
      <c r="M163" s="187"/>
      <c r="N163" s="187"/>
      <c r="O163" s="187"/>
      <c r="P163" s="187"/>
      <c r="Q163" s="187"/>
    </row>
    <row r="164" spans="1:17" ht="18" customHeight="1" x14ac:dyDescent="0.35">
      <c r="A164" s="190" t="str">
        <f ca="1">IFERROR(IF(LEN(VLOOKUP($H167,control!$AF$2:$AG$65536,2,FALSE))&gt;300,LEFT(VLOOKUP($H167,control!$AF$2:$AG$65536,2,FALSE),300)&amp;" …",VLOOKUP($H167,control!$AF$2:$AG$65536,2,FALSE)),"")</f>
        <v>Мониторинг качества управления муниципальными финансами (IV квартал, за год)</v>
      </c>
      <c r="B164" s="190"/>
      <c r="C164" s="190"/>
      <c r="D164" s="190"/>
      <c r="E164" s="190"/>
      <c r="F164" s="190"/>
      <c r="H164" s="143">
        <f>H158+1</f>
        <v>27</v>
      </c>
      <c r="I164" s="189"/>
      <c r="J164" s="143"/>
      <c r="L164" s="187"/>
      <c r="M164" s="187"/>
      <c r="N164" s="187"/>
      <c r="O164" s="187"/>
      <c r="P164" s="187"/>
      <c r="Q164" s="187"/>
    </row>
    <row r="165" spans="1:17" x14ac:dyDescent="0.35">
      <c r="A165" s="190"/>
      <c r="B165" s="190"/>
      <c r="C165" s="190"/>
      <c r="D165" s="190"/>
      <c r="E165" s="190"/>
      <c r="F165" s="190"/>
      <c r="H165" s="143"/>
      <c r="I165" s="189"/>
      <c r="J165" s="143"/>
      <c r="L165" s="187"/>
      <c r="M165" s="187"/>
      <c r="N165" s="187"/>
      <c r="O165" s="187"/>
      <c r="P165" s="187"/>
      <c r="Q165" s="187"/>
    </row>
    <row r="166" spans="1:17" x14ac:dyDescent="0.35">
      <c r="A166" s="190"/>
      <c r="B166" s="190"/>
      <c r="C166" s="190"/>
      <c r="D166" s="190"/>
      <c r="E166" s="190"/>
      <c r="F166" s="190"/>
      <c r="H166" s="143"/>
      <c r="I166" s="189"/>
      <c r="J166" s="143"/>
      <c r="L166" s="187"/>
      <c r="M166" s="187"/>
      <c r="N166" s="187"/>
      <c r="O166" s="187"/>
      <c r="P166" s="187"/>
      <c r="Q166" s="187"/>
    </row>
    <row r="167" spans="1:17" ht="15.75" customHeight="1" x14ac:dyDescent="0.35">
      <c r="A167" s="190"/>
      <c r="B167" s="190"/>
      <c r="C167" s="190"/>
      <c r="D167" s="190"/>
      <c r="E167" s="190"/>
      <c r="F167" s="190"/>
      <c r="H167" s="188">
        <f ca="1">IF(COUNT(dates_end_nearest)&gt;=H170,SMALL(dates_end_nearest,H170),"")</f>
        <v>43495</v>
      </c>
      <c r="I167" s="188"/>
      <c r="J167" s="188"/>
    </row>
    <row r="168" spans="1:17" ht="15.75" customHeight="1" x14ac:dyDescent="0.35">
      <c r="A168" s="190"/>
      <c r="B168" s="190"/>
      <c r="C168" s="190"/>
      <c r="D168" s="190"/>
      <c r="E168" s="190"/>
      <c r="F168" s="190"/>
      <c r="H168" s="188"/>
      <c r="I168" s="188"/>
      <c r="J168" s="188"/>
    </row>
    <row r="169" spans="1:17" ht="15.75" customHeight="1" x14ac:dyDescent="0.35">
      <c r="A169" s="190"/>
      <c r="B169" s="190"/>
      <c r="C169" s="190"/>
      <c r="D169" s="190"/>
      <c r="E169" s="190"/>
      <c r="F169" s="190"/>
      <c r="H169" s="188"/>
      <c r="I169" s="188"/>
      <c r="J169" s="188"/>
    </row>
    <row r="170" spans="1:17" x14ac:dyDescent="0.35">
      <c r="A170" s="190"/>
      <c r="B170" s="190"/>
      <c r="C170" s="190"/>
      <c r="D170" s="190"/>
      <c r="E170" s="190"/>
      <c r="F170" s="190"/>
      <c r="H170" s="143">
        <f>H164+1</f>
        <v>28</v>
      </c>
      <c r="I170" s="189"/>
      <c r="J170" s="143"/>
      <c r="L170" s="187" t="str">
        <f ca="1">IFERROR(IF(LEN(VLOOKUP($H173,control!$AF$2:$AG$65536,2,FALSE))&gt;300,LEFT(VLOOKUP($H173,control!$AF$2:$AG$65536,2,FALSE),300)&amp;" …",VLOOKUP($H173,control!$AF$2:$AG$65536,2,FALSE)),"")</f>
        <v/>
      </c>
      <c r="M170" s="187"/>
      <c r="N170" s="187"/>
      <c r="O170" s="187"/>
      <c r="P170" s="187"/>
      <c r="Q170" s="187"/>
    </row>
    <row r="171" spans="1:17" x14ac:dyDescent="0.35">
      <c r="A171" s="190"/>
      <c r="B171" s="190"/>
      <c r="C171" s="190"/>
      <c r="D171" s="190"/>
      <c r="E171" s="190"/>
      <c r="F171" s="190"/>
      <c r="H171" s="143"/>
      <c r="I171" s="189"/>
      <c r="J171" s="143"/>
      <c r="L171" s="187"/>
      <c r="M171" s="187"/>
      <c r="N171" s="187"/>
      <c r="O171" s="187"/>
      <c r="P171" s="187"/>
      <c r="Q171" s="187"/>
    </row>
    <row r="172" spans="1:17" x14ac:dyDescent="0.35">
      <c r="A172" s="190"/>
      <c r="B172" s="190"/>
      <c r="C172" s="190"/>
      <c r="D172" s="190"/>
      <c r="E172" s="190"/>
      <c r="F172" s="190"/>
      <c r="H172" s="143"/>
      <c r="I172" s="189"/>
      <c r="J172" s="143"/>
      <c r="L172" s="187"/>
      <c r="M172" s="187"/>
      <c r="N172" s="187"/>
      <c r="O172" s="187"/>
      <c r="P172" s="187"/>
      <c r="Q172" s="187"/>
    </row>
    <row r="173" spans="1:17" ht="15.75" customHeight="1" x14ac:dyDescent="0.35">
      <c r="H173" s="188" t="str">
        <f ca="1">IF(COUNT(dates_end_nearest)&gt;=H176,SMALL(dates_end_nearest,H176),"")</f>
        <v/>
      </c>
      <c r="I173" s="188"/>
      <c r="J173" s="188"/>
      <c r="L173" s="187"/>
      <c r="M173" s="187"/>
      <c r="N173" s="187"/>
      <c r="O173" s="187"/>
      <c r="P173" s="187"/>
      <c r="Q173" s="187"/>
    </row>
    <row r="174" spans="1:17" ht="15.75" customHeight="1" x14ac:dyDescent="0.35">
      <c r="H174" s="188"/>
      <c r="I174" s="188"/>
      <c r="J174" s="188"/>
      <c r="L174" s="187"/>
      <c r="M174" s="187"/>
      <c r="N174" s="187"/>
      <c r="O174" s="187"/>
      <c r="P174" s="187"/>
      <c r="Q174" s="187"/>
    </row>
    <row r="175" spans="1:17" ht="15.75" customHeight="1" x14ac:dyDescent="0.35">
      <c r="H175" s="188"/>
      <c r="I175" s="188"/>
      <c r="J175" s="188"/>
      <c r="L175" s="187"/>
      <c r="M175" s="187"/>
      <c r="N175" s="187"/>
      <c r="O175" s="187"/>
      <c r="P175" s="187"/>
      <c r="Q175" s="187"/>
    </row>
    <row r="176" spans="1:17" x14ac:dyDescent="0.35">
      <c r="H176" s="143">
        <f>H170+1</f>
        <v>29</v>
      </c>
      <c r="I176" s="143"/>
      <c r="J176" s="143"/>
      <c r="L176" s="187"/>
      <c r="M176" s="187"/>
      <c r="N176" s="187"/>
      <c r="O176" s="187"/>
      <c r="P176" s="187"/>
      <c r="Q176" s="187"/>
    </row>
    <row r="177" spans="8:17" x14ac:dyDescent="0.35">
      <c r="H177" s="143"/>
      <c r="I177" s="143"/>
      <c r="J177" s="143"/>
      <c r="L177" s="187"/>
      <c r="M177" s="187"/>
      <c r="N177" s="187"/>
      <c r="O177" s="187"/>
      <c r="P177" s="187"/>
      <c r="Q177" s="187"/>
    </row>
    <row r="178" spans="8:17" x14ac:dyDescent="0.35">
      <c r="H178" s="143"/>
      <c r="I178" s="143"/>
      <c r="J178" s="143"/>
      <c r="L178" s="187"/>
      <c r="M178" s="187"/>
      <c r="N178" s="187"/>
      <c r="O178" s="187"/>
      <c r="P178" s="187"/>
      <c r="Q178" s="187"/>
    </row>
  </sheetData>
  <sheetProtection password="8424" sheet="1" objects="1" scenarios="1" autoFilter="0"/>
  <mergeCells count="111">
    <mergeCell ref="L11:Q11"/>
    <mergeCell ref="L12:Q12"/>
    <mergeCell ref="L13:Q13"/>
    <mergeCell ref="H23:J25"/>
    <mergeCell ref="H29:J31"/>
    <mergeCell ref="H35:J37"/>
    <mergeCell ref="H5:J7"/>
    <mergeCell ref="H11:J13"/>
    <mergeCell ref="L35:Q35"/>
    <mergeCell ref="L36:Q36"/>
    <mergeCell ref="L37:Q37"/>
    <mergeCell ref="L2:Q10"/>
    <mergeCell ref="I20:I22"/>
    <mergeCell ref="I26:I28"/>
    <mergeCell ref="I32:I34"/>
    <mergeCell ref="L14:Q22"/>
    <mergeCell ref="A20:F28"/>
    <mergeCell ref="L26:Q34"/>
    <mergeCell ref="A32:F40"/>
    <mergeCell ref="L38:Q46"/>
    <mergeCell ref="A44:F52"/>
    <mergeCell ref="L23:Q23"/>
    <mergeCell ref="L24:Q24"/>
    <mergeCell ref="L25:Q25"/>
    <mergeCell ref="A41:F41"/>
    <mergeCell ref="A42:F42"/>
    <mergeCell ref="A43:F43"/>
    <mergeCell ref="A29:F29"/>
    <mergeCell ref="A30:F30"/>
    <mergeCell ref="A31:F31"/>
    <mergeCell ref="I44:I46"/>
    <mergeCell ref="I50:I52"/>
    <mergeCell ref="A17:F17"/>
    <mergeCell ref="A18:F18"/>
    <mergeCell ref="A19:F19"/>
    <mergeCell ref="H41:J43"/>
    <mergeCell ref="H47:J49"/>
    <mergeCell ref="A2:F2"/>
    <mergeCell ref="A3:F3"/>
    <mergeCell ref="A4:F4"/>
    <mergeCell ref="H17:J19"/>
    <mergeCell ref="I38:I40"/>
    <mergeCell ref="I8:I10"/>
    <mergeCell ref="I14:I16"/>
    <mergeCell ref="I92:I94"/>
    <mergeCell ref="I98:I100"/>
    <mergeCell ref="H95:J97"/>
    <mergeCell ref="A8:F16"/>
    <mergeCell ref="I56:I58"/>
    <mergeCell ref="I62:I64"/>
    <mergeCell ref="A56:F64"/>
    <mergeCell ref="A5:F5"/>
    <mergeCell ref="A6:F6"/>
    <mergeCell ref="A7:F7"/>
    <mergeCell ref="H59:J61"/>
    <mergeCell ref="H53:J55"/>
    <mergeCell ref="H65:J67"/>
    <mergeCell ref="H71:J73"/>
    <mergeCell ref="I110:I112"/>
    <mergeCell ref="L50:Q58"/>
    <mergeCell ref="I68:I70"/>
    <mergeCell ref="H155:J157"/>
    <mergeCell ref="H161:J163"/>
    <mergeCell ref="I146:I148"/>
    <mergeCell ref="I152:I154"/>
    <mergeCell ref="I158:I160"/>
    <mergeCell ref="L122:Q130"/>
    <mergeCell ref="A1:Q1"/>
    <mergeCell ref="L158:Q166"/>
    <mergeCell ref="A164:F172"/>
    <mergeCell ref="H107:J109"/>
    <mergeCell ref="H113:J115"/>
    <mergeCell ref="H119:J121"/>
    <mergeCell ref="L74:Q82"/>
    <mergeCell ref="L86:Q94"/>
    <mergeCell ref="A80:F88"/>
    <mergeCell ref="H77:J79"/>
    <mergeCell ref="H83:J85"/>
    <mergeCell ref="H89:J91"/>
    <mergeCell ref="I74:I76"/>
    <mergeCell ref="I80:I82"/>
    <mergeCell ref="I86:I88"/>
    <mergeCell ref="A68:F76"/>
    <mergeCell ref="A92:F100"/>
    <mergeCell ref="I170:I172"/>
    <mergeCell ref="L98:Q106"/>
    <mergeCell ref="A104:F112"/>
    <mergeCell ref="L110:Q118"/>
    <mergeCell ref="A116:F124"/>
    <mergeCell ref="H101:J103"/>
    <mergeCell ref="L62:Q70"/>
    <mergeCell ref="L170:Q178"/>
    <mergeCell ref="H167:J169"/>
    <mergeCell ref="H173:J175"/>
    <mergeCell ref="I104:I106"/>
    <mergeCell ref="I116:I118"/>
    <mergeCell ref="A128:F136"/>
    <mergeCell ref="L134:Q142"/>
    <mergeCell ref="A140:F148"/>
    <mergeCell ref="H131:J133"/>
    <mergeCell ref="H137:J139"/>
    <mergeCell ref="H143:J145"/>
    <mergeCell ref="H125:J127"/>
    <mergeCell ref="I122:I124"/>
    <mergeCell ref="I128:I130"/>
    <mergeCell ref="I134:I136"/>
    <mergeCell ref="I140:I142"/>
    <mergeCell ref="L146:Q154"/>
    <mergeCell ref="A152:F160"/>
    <mergeCell ref="I164:I166"/>
    <mergeCell ref="H149:J151"/>
  </mergeCells>
  <conditionalFormatting sqref="L2:Q10">
    <cfRule type="expression" dxfId="105" priority="157">
      <formula>$H5&lt;&gt;""</formula>
    </cfRule>
  </conditionalFormatting>
  <conditionalFormatting sqref="L14:Q22">
    <cfRule type="expression" dxfId="104" priority="142">
      <formula>$H17&lt;&gt;""</formula>
    </cfRule>
  </conditionalFormatting>
  <conditionalFormatting sqref="L26:Q34">
    <cfRule type="expression" dxfId="103" priority="141">
      <formula>$H29&lt;&gt;""</formula>
    </cfRule>
  </conditionalFormatting>
  <conditionalFormatting sqref="L38:Q46">
    <cfRule type="expression" dxfId="102" priority="140">
      <formula>$H41&lt;&gt;""</formula>
    </cfRule>
  </conditionalFormatting>
  <conditionalFormatting sqref="L50:Q58">
    <cfRule type="expression" dxfId="101" priority="139">
      <formula>$H53&lt;&gt;""</formula>
    </cfRule>
  </conditionalFormatting>
  <conditionalFormatting sqref="L62:Q70">
    <cfRule type="expression" dxfId="100" priority="138">
      <formula>$H65&lt;&gt;""</formula>
    </cfRule>
  </conditionalFormatting>
  <conditionalFormatting sqref="L74:Q82">
    <cfRule type="expression" dxfId="99" priority="137">
      <formula>$H77&lt;&gt;""</formula>
    </cfRule>
  </conditionalFormatting>
  <conditionalFormatting sqref="L86:Q94">
    <cfRule type="expression" dxfId="98" priority="136">
      <formula>$H89&lt;&gt;""</formula>
    </cfRule>
  </conditionalFormatting>
  <conditionalFormatting sqref="L98:Q106">
    <cfRule type="expression" dxfId="97" priority="135">
      <formula>$H101&lt;&gt;""</formula>
    </cfRule>
  </conditionalFormatting>
  <conditionalFormatting sqref="L110:Q118">
    <cfRule type="expression" dxfId="96" priority="134">
      <formula>$H113&lt;&gt;""</formula>
    </cfRule>
  </conditionalFormatting>
  <conditionalFormatting sqref="L122:Q130">
    <cfRule type="expression" dxfId="95" priority="133">
      <formula>$H125&lt;&gt;""</formula>
    </cfRule>
  </conditionalFormatting>
  <conditionalFormatting sqref="L134:Q142">
    <cfRule type="expression" dxfId="94" priority="132">
      <formula>$H137&lt;&gt;""</formula>
    </cfRule>
  </conditionalFormatting>
  <conditionalFormatting sqref="L146:Q154">
    <cfRule type="expression" dxfId="93" priority="131">
      <formula>$H149&lt;&gt;""</formula>
    </cfRule>
  </conditionalFormatting>
  <conditionalFormatting sqref="L158:Q166">
    <cfRule type="expression" dxfId="92" priority="130">
      <formula>$H161&lt;&gt;""</formula>
    </cfRule>
  </conditionalFormatting>
  <conditionalFormatting sqref="L170:Q178">
    <cfRule type="expression" dxfId="91" priority="129">
      <formula>$H173&lt;&gt;""</formula>
    </cfRule>
  </conditionalFormatting>
  <conditionalFormatting sqref="A8:F16">
    <cfRule type="expression" dxfId="90" priority="128">
      <formula>$H11&lt;&gt;""</formula>
    </cfRule>
  </conditionalFormatting>
  <conditionalFormatting sqref="A20:F28">
    <cfRule type="expression" dxfId="89" priority="127">
      <formula>$H23&lt;&gt;""</formula>
    </cfRule>
  </conditionalFormatting>
  <conditionalFormatting sqref="A32:F40">
    <cfRule type="expression" dxfId="88" priority="126">
      <formula>$H35&lt;&gt;""</formula>
    </cfRule>
  </conditionalFormatting>
  <conditionalFormatting sqref="A44:F52">
    <cfRule type="expression" dxfId="87" priority="125">
      <formula>$H47&lt;&gt;""</formula>
    </cfRule>
  </conditionalFormatting>
  <conditionalFormatting sqref="A56:F64">
    <cfRule type="expression" dxfId="86" priority="124">
      <formula>$H59&lt;&gt;""</formula>
    </cfRule>
  </conditionalFormatting>
  <conditionalFormatting sqref="A68:F76">
    <cfRule type="expression" dxfId="85" priority="123">
      <formula>$H71&lt;&gt;""</formula>
    </cfRule>
  </conditionalFormatting>
  <conditionalFormatting sqref="A80:F88">
    <cfRule type="expression" dxfId="84" priority="122">
      <formula>$H83&lt;&gt;""</formula>
    </cfRule>
  </conditionalFormatting>
  <conditionalFormatting sqref="A92:F100">
    <cfRule type="expression" dxfId="83" priority="121">
      <formula>$H95&lt;&gt;""</formula>
    </cfRule>
  </conditionalFormatting>
  <conditionalFormatting sqref="A104:F112">
    <cfRule type="expression" dxfId="82" priority="120">
      <formula>$H107&lt;&gt;""</formula>
    </cfRule>
  </conditionalFormatting>
  <conditionalFormatting sqref="A116:F124">
    <cfRule type="expression" dxfId="81" priority="119">
      <formula>$H119&lt;&gt;""</formula>
    </cfRule>
  </conditionalFormatting>
  <conditionalFormatting sqref="A128:F136">
    <cfRule type="expression" dxfId="80" priority="118">
      <formula>$H131&lt;&gt;""</formula>
    </cfRule>
  </conditionalFormatting>
  <conditionalFormatting sqref="A140:F148">
    <cfRule type="expression" dxfId="79" priority="117">
      <formula>$H143&lt;&gt;""</formula>
    </cfRule>
  </conditionalFormatting>
  <conditionalFormatting sqref="A152:F160">
    <cfRule type="expression" dxfId="78" priority="116">
      <formula>$H155&lt;&gt;""</formula>
    </cfRule>
  </conditionalFormatting>
  <conditionalFormatting sqref="A164:F172">
    <cfRule type="expression" dxfId="77" priority="115">
      <formula>$H167&lt;&gt;""</formula>
    </cfRule>
  </conditionalFormatting>
  <conditionalFormatting sqref="I8:I10">
    <cfRule type="expression" dxfId="76" priority="86">
      <formula>$H11&lt;&gt;""</formula>
    </cfRule>
  </conditionalFormatting>
  <conditionalFormatting sqref="I14:I16">
    <cfRule type="expression" dxfId="75" priority="85">
      <formula>$H17&lt;&gt;""</formula>
    </cfRule>
  </conditionalFormatting>
  <conditionalFormatting sqref="I20:I22">
    <cfRule type="expression" dxfId="74" priority="84">
      <formula>$H23&lt;&gt;""</formula>
    </cfRule>
  </conditionalFormatting>
  <conditionalFormatting sqref="I26:I28">
    <cfRule type="expression" dxfId="73" priority="83">
      <formula>$H29&lt;&gt;""</formula>
    </cfRule>
  </conditionalFormatting>
  <conditionalFormatting sqref="I32:I34">
    <cfRule type="expression" dxfId="72" priority="82">
      <formula>$H35&lt;&gt;""</formula>
    </cfRule>
  </conditionalFormatting>
  <conditionalFormatting sqref="I38:I40">
    <cfRule type="expression" dxfId="71" priority="81">
      <formula>$H41&lt;&gt;""</formula>
    </cfRule>
  </conditionalFormatting>
  <conditionalFormatting sqref="I44:I46">
    <cfRule type="expression" dxfId="70" priority="80">
      <formula>$H47&lt;&gt;""</formula>
    </cfRule>
  </conditionalFormatting>
  <conditionalFormatting sqref="I50:I52">
    <cfRule type="expression" dxfId="69" priority="79">
      <formula>$H53&lt;&gt;""</formula>
    </cfRule>
  </conditionalFormatting>
  <conditionalFormatting sqref="I56:I58">
    <cfRule type="expression" dxfId="68" priority="78">
      <formula>$H59&lt;&gt;""</formula>
    </cfRule>
  </conditionalFormatting>
  <conditionalFormatting sqref="I62:I64">
    <cfRule type="expression" dxfId="67" priority="77">
      <formula>$H65&lt;&gt;""</formula>
    </cfRule>
  </conditionalFormatting>
  <conditionalFormatting sqref="I68:I70">
    <cfRule type="expression" dxfId="66" priority="76">
      <formula>$H71&lt;&gt;""</formula>
    </cfRule>
  </conditionalFormatting>
  <conditionalFormatting sqref="I74:I76">
    <cfRule type="expression" dxfId="65" priority="75">
      <formula>$H77&lt;&gt;""</formula>
    </cfRule>
  </conditionalFormatting>
  <conditionalFormatting sqref="I80:I82">
    <cfRule type="expression" dxfId="64" priority="74">
      <formula>$H83&lt;&gt;""</formula>
    </cfRule>
  </conditionalFormatting>
  <conditionalFormatting sqref="I86:I88">
    <cfRule type="expression" dxfId="63" priority="73">
      <formula>$H89&lt;&gt;""</formula>
    </cfRule>
  </conditionalFormatting>
  <conditionalFormatting sqref="I92:I94">
    <cfRule type="expression" dxfId="62" priority="72">
      <formula>$H95&lt;&gt;""</formula>
    </cfRule>
  </conditionalFormatting>
  <conditionalFormatting sqref="I98:I100">
    <cfRule type="expression" dxfId="61" priority="71">
      <formula>$H101&lt;&gt;""</formula>
    </cfRule>
  </conditionalFormatting>
  <conditionalFormatting sqref="I104:I106">
    <cfRule type="expression" dxfId="60" priority="70">
      <formula>$H107&lt;&gt;""</formula>
    </cfRule>
  </conditionalFormatting>
  <conditionalFormatting sqref="I110:I112">
    <cfRule type="expression" dxfId="59" priority="69">
      <formula>$H113&lt;&gt;""</formula>
    </cfRule>
  </conditionalFormatting>
  <conditionalFormatting sqref="I116:I118">
    <cfRule type="expression" dxfId="58" priority="68">
      <formula>$H119&lt;&gt;""</formula>
    </cfRule>
  </conditionalFormatting>
  <conditionalFormatting sqref="I122:I124">
    <cfRule type="expression" dxfId="57" priority="67">
      <formula>$H125&lt;&gt;""</formula>
    </cfRule>
  </conditionalFormatting>
  <conditionalFormatting sqref="I128:I130">
    <cfRule type="expression" dxfId="56" priority="66">
      <formula>$H131&lt;&gt;""</formula>
    </cfRule>
  </conditionalFormatting>
  <conditionalFormatting sqref="I134:I136">
    <cfRule type="expression" dxfId="55" priority="65">
      <formula>$H137&lt;&gt;""</formula>
    </cfRule>
  </conditionalFormatting>
  <conditionalFormatting sqref="I140:I142">
    <cfRule type="expression" dxfId="54" priority="64">
      <formula>$H143&lt;&gt;""</formula>
    </cfRule>
  </conditionalFormatting>
  <conditionalFormatting sqref="I146:I148">
    <cfRule type="expression" dxfId="53" priority="63">
      <formula>$H149&lt;&gt;""</formula>
    </cfRule>
  </conditionalFormatting>
  <conditionalFormatting sqref="I152:I154">
    <cfRule type="expression" dxfId="52" priority="62">
      <formula>$H155&lt;&gt;""</formula>
    </cfRule>
  </conditionalFormatting>
  <conditionalFormatting sqref="I158:I160">
    <cfRule type="expression" dxfId="51" priority="61">
      <formula>$H161&lt;&gt;""</formula>
    </cfRule>
  </conditionalFormatting>
  <conditionalFormatting sqref="I164:I166">
    <cfRule type="expression" dxfId="50" priority="60">
      <formula>$H167&lt;&gt;""</formula>
    </cfRule>
  </conditionalFormatting>
  <conditionalFormatting sqref="I170:I172">
    <cfRule type="expression" dxfId="49" priority="59">
      <formula>$H173&lt;&gt;""</formula>
    </cfRule>
  </conditionalFormatting>
  <conditionalFormatting sqref="H5:J7">
    <cfRule type="expression" dxfId="48" priority="58">
      <formula>COUNT(dates_end_nearest)&gt;=$H8</formula>
    </cfRule>
  </conditionalFormatting>
  <conditionalFormatting sqref="H11:J13">
    <cfRule type="expression" dxfId="47" priority="30">
      <formula>COUNT(dates_end_nearest)&gt;=$H14</formula>
    </cfRule>
  </conditionalFormatting>
  <conditionalFormatting sqref="H17:J19">
    <cfRule type="expression" dxfId="46" priority="29">
      <formula>COUNT(dates_end_nearest)&gt;=$H20</formula>
    </cfRule>
  </conditionalFormatting>
  <conditionalFormatting sqref="H23:J25">
    <cfRule type="expression" dxfId="45" priority="28">
      <formula>COUNT(dates_end_nearest)&gt;=$H26</formula>
    </cfRule>
  </conditionalFormatting>
  <conditionalFormatting sqref="H29:J31">
    <cfRule type="expression" dxfId="44" priority="27">
      <formula>COUNT(dates_end_nearest)&gt;=$H32</formula>
    </cfRule>
  </conditionalFormatting>
  <conditionalFormatting sqref="H35:J37">
    <cfRule type="expression" dxfId="43" priority="24">
      <formula>COUNT(dates_end_nearest)&gt;=$H38</formula>
    </cfRule>
  </conditionalFormatting>
  <conditionalFormatting sqref="H41:J43">
    <cfRule type="expression" dxfId="42" priority="23">
      <formula>COUNT(dates_end_nearest)&gt;=$H44</formula>
    </cfRule>
  </conditionalFormatting>
  <conditionalFormatting sqref="H47:J49">
    <cfRule type="expression" dxfId="41" priority="22">
      <formula>COUNT(dates_end_nearest)&gt;=$H50</formula>
    </cfRule>
  </conditionalFormatting>
  <conditionalFormatting sqref="H53:J55">
    <cfRule type="expression" dxfId="40" priority="21">
      <formula>COUNT(dates_end_nearest)&gt;=$H56</formula>
    </cfRule>
  </conditionalFormatting>
  <conditionalFormatting sqref="H59:J61">
    <cfRule type="expression" dxfId="39" priority="20">
      <formula>COUNT(dates_end_nearest)&gt;=$H62</formula>
    </cfRule>
  </conditionalFormatting>
  <conditionalFormatting sqref="H65:J67">
    <cfRule type="expression" dxfId="38" priority="19">
      <formula>COUNT(dates_end_nearest)&gt;=$H68</formula>
    </cfRule>
  </conditionalFormatting>
  <conditionalFormatting sqref="H71:J73">
    <cfRule type="expression" dxfId="37" priority="18">
      <formula>COUNT(dates_end_nearest)&gt;=$H74</formula>
    </cfRule>
  </conditionalFormatting>
  <conditionalFormatting sqref="H77:J79">
    <cfRule type="expression" dxfId="36" priority="17">
      <formula>COUNT(dates_end_nearest)&gt;=$H80</formula>
    </cfRule>
  </conditionalFormatting>
  <conditionalFormatting sqref="H83:J85">
    <cfRule type="expression" dxfId="35" priority="16">
      <formula>COUNT(dates_end_nearest)&gt;=$H86</formula>
    </cfRule>
  </conditionalFormatting>
  <conditionalFormatting sqref="H89:J91">
    <cfRule type="expression" dxfId="34" priority="15">
      <formula>COUNT(dates_end_nearest)&gt;=$H92</formula>
    </cfRule>
  </conditionalFormatting>
  <conditionalFormatting sqref="H95:J97">
    <cfRule type="expression" dxfId="33" priority="14">
      <formula>COUNT(dates_end_nearest)&gt;=$H98</formula>
    </cfRule>
  </conditionalFormatting>
  <conditionalFormatting sqref="H101:J103">
    <cfRule type="expression" dxfId="32" priority="13">
      <formula>COUNT(dates_end_nearest)&gt;=$H104</formula>
    </cfRule>
  </conditionalFormatting>
  <conditionalFormatting sqref="H107:J109">
    <cfRule type="expression" dxfId="31" priority="12">
      <formula>COUNT(dates_end_nearest)&gt;=$H110</formula>
    </cfRule>
  </conditionalFormatting>
  <conditionalFormatting sqref="H113:J115">
    <cfRule type="expression" dxfId="30" priority="11">
      <formula>COUNT(dates_end_nearest)&gt;=$H116</formula>
    </cfRule>
  </conditionalFormatting>
  <conditionalFormatting sqref="H119:J121">
    <cfRule type="expression" dxfId="29" priority="10">
      <formula>COUNT(dates_end_nearest)&gt;=$H122</formula>
    </cfRule>
  </conditionalFormatting>
  <conditionalFormatting sqref="H125:J127">
    <cfRule type="expression" dxfId="28" priority="9">
      <formula>COUNT(dates_end_nearest)&gt;=$H128</formula>
    </cfRule>
  </conditionalFormatting>
  <conditionalFormatting sqref="H131:J133">
    <cfRule type="expression" dxfId="27" priority="8">
      <formula>COUNT(dates_end_nearest)&gt;=$H134</formula>
    </cfRule>
  </conditionalFormatting>
  <conditionalFormatting sqref="H137:J139">
    <cfRule type="expression" dxfId="26" priority="7">
      <formula>COUNT(dates_end_nearest)&gt;=$H140</formula>
    </cfRule>
  </conditionalFormatting>
  <conditionalFormatting sqref="H143:J145">
    <cfRule type="expression" dxfId="25" priority="6">
      <formula>COUNT(dates_end_nearest)&gt;=$H146</formula>
    </cfRule>
  </conditionalFormatting>
  <conditionalFormatting sqref="H149:J151">
    <cfRule type="expression" dxfId="24" priority="5">
      <formula>COUNT(dates_end_nearest)&gt;=$H152</formula>
    </cfRule>
  </conditionalFormatting>
  <conditionalFormatting sqref="H155:J157">
    <cfRule type="expression" dxfId="23" priority="4">
      <formula>COUNT(dates_end_nearest)&gt;=$H158</formula>
    </cfRule>
  </conditionalFormatting>
  <conditionalFormatting sqref="H161:J163">
    <cfRule type="expression" dxfId="22" priority="3">
      <formula>COUNT(dates_end_nearest)&gt;=$H164</formula>
    </cfRule>
  </conditionalFormatting>
  <conditionalFormatting sqref="H167:J169">
    <cfRule type="expression" dxfId="21" priority="2">
      <formula>COUNT(dates_end_nearest)&gt;=$H170</formula>
    </cfRule>
  </conditionalFormatting>
  <conditionalFormatting sqref="H173:J175">
    <cfRule type="expression" dxfId="20" priority="1">
      <formula>COUNT(dates_end_nearest)&gt;=$H176</formula>
    </cfRule>
  </conditionalFormatting>
  <pageMargins left="0.7" right="0.7" top="0.75" bottom="0.75" header="0.3" footer="0.3"/>
  <pageSetup paperSize="9" scale="61" fitToHeight="0" orientation="portrait" horizontalDpi="300" verticalDpi="300" r:id="rId1"/>
  <rowBreaks count="2" manualBreakCount="2">
    <brk id="67" max="16" man="1"/>
    <brk id="136" max="16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H95"/>
  <sheetViews>
    <sheetView topLeftCell="G1" zoomScaleNormal="100" workbookViewId="0">
      <selection activeCell="R36" sqref="R36"/>
    </sheetView>
  </sheetViews>
  <sheetFormatPr defaultRowHeight="12.75" x14ac:dyDescent="0.25"/>
  <cols>
    <col min="1" max="1" width="12.125" style="89" bestFit="1" customWidth="1"/>
    <col min="2" max="2" width="13.5" style="89" customWidth="1"/>
    <col min="3" max="3" width="2.75" style="90" customWidth="1"/>
    <col min="4" max="4" width="39.25" style="89" bestFit="1" customWidth="1"/>
    <col min="5" max="5" width="15.125" style="89" bestFit="1" customWidth="1"/>
    <col min="6" max="6" width="13.5" style="89" customWidth="1"/>
    <col min="7" max="16" width="9" style="89"/>
    <col min="17" max="17" width="2.75" style="90" customWidth="1"/>
    <col min="18" max="18" width="52.625" style="95" bestFit="1" customWidth="1"/>
    <col min="19" max="19" width="13.5" style="95" bestFit="1" customWidth="1"/>
    <col min="20" max="20" width="13" style="95" customWidth="1"/>
    <col min="21" max="30" width="9" style="89"/>
    <col min="31" max="31" width="2.75" style="90" customWidth="1"/>
    <col min="32" max="32" width="12.125" style="89" bestFit="1" customWidth="1"/>
    <col min="33" max="33" width="255.625" style="89" bestFit="1" customWidth="1"/>
    <col min="34" max="16384" width="9" style="89"/>
  </cols>
  <sheetData>
    <row r="1" spans="1:34" ht="21.75" customHeight="1" x14ac:dyDescent="0.2">
      <c r="A1" s="88" t="s">
        <v>24</v>
      </c>
      <c r="B1" s="89" t="s">
        <v>109</v>
      </c>
      <c r="D1" s="91" t="s">
        <v>24</v>
      </c>
      <c r="E1" s="92" t="s">
        <v>109</v>
      </c>
      <c r="F1" s="89" t="s">
        <v>15</v>
      </c>
      <c r="G1" s="93">
        <v>1</v>
      </c>
      <c r="H1" s="93">
        <v>2</v>
      </c>
      <c r="I1" s="93">
        <v>3</v>
      </c>
      <c r="J1" s="93">
        <v>4</v>
      </c>
      <c r="K1" s="93">
        <v>5</v>
      </c>
      <c r="L1" s="94">
        <v>1</v>
      </c>
      <c r="M1" s="94">
        <v>2</v>
      </c>
      <c r="N1" s="94">
        <v>3</v>
      </c>
      <c r="O1" s="94">
        <v>4</v>
      </c>
      <c r="P1" s="94">
        <v>5</v>
      </c>
      <c r="R1" s="89"/>
      <c r="S1" s="89"/>
      <c r="U1" s="93">
        <v>1</v>
      </c>
      <c r="V1" s="93">
        <v>2</v>
      </c>
      <c r="W1" s="93">
        <v>3</v>
      </c>
      <c r="X1" s="93">
        <v>4</v>
      </c>
      <c r="Y1" s="93">
        <v>5</v>
      </c>
      <c r="Z1" s="94">
        <v>1</v>
      </c>
      <c r="AA1" s="94">
        <v>2</v>
      </c>
      <c r="AB1" s="94">
        <v>3</v>
      </c>
      <c r="AC1" s="94">
        <v>4</v>
      </c>
      <c r="AD1" s="94">
        <v>5</v>
      </c>
      <c r="AF1" s="96" t="s">
        <v>24</v>
      </c>
      <c r="AG1" s="96" t="s">
        <v>1</v>
      </c>
      <c r="AH1" s="97"/>
    </row>
    <row r="2" spans="1:34" x14ac:dyDescent="0.2">
      <c r="A2" s="98">
        <v>43098</v>
      </c>
      <c r="B2" s="99">
        <v>2</v>
      </c>
      <c r="D2" s="100" t="s">
        <v>112</v>
      </c>
      <c r="E2" s="101">
        <v>4</v>
      </c>
      <c r="F2" s="102">
        <f t="array" ref="F2">SUM(--(DataTable[Категория]=D2)*DataTable[%]*DataTable[Рабочих дней])/SUM(--(DataTable[Категория]=D2)*DataTable[Рабочих дней])</f>
        <v>1</v>
      </c>
      <c r="G2" s="103" t="str">
        <f t="array" aca="1" ref="G2" ca="1">IFERROR(INDEX(DataTable[Действие],SMALL(IF(DataTable[Категория]=$D2,IF(DataTable[Окончание]&gt;=today,ROW(DataTable[Категория]),"")),G$1)-MATCH(DataTable[[#Headers],[№]],'эпапы, сроки'!$A$1:$A$65546)),"")</f>
        <v/>
      </c>
      <c r="H2" s="103" t="str">
        <f t="array" aca="1" ref="H2" ca="1">IFERROR(INDEX(DataTable[Действие],SMALL(IF(DataTable[Категория]=$D2,IF(DataTable[Окончание]&gt;=today,ROW(DataTable[Категория]),"")),H$1)-MATCH(DataTable[[#Headers],[№]],'эпапы, сроки'!$A$1:$A$65546)),"")</f>
        <v/>
      </c>
      <c r="I2" s="103" t="str">
        <f t="array" aca="1" ref="I2" ca="1">IFERROR(INDEX(DataTable[Действие],SMALL(IF(DataTable[Категория]=$D2,IF(DataTable[Окончание]&gt;=today,ROW(DataTable[Категория]),"")),I$1)-MATCH(DataTable[[#Headers],[№]],'эпапы, сроки'!$A$1:$A$65546)),"")</f>
        <v/>
      </c>
      <c r="J2" s="103" t="str">
        <f t="array" aca="1" ref="J2" ca="1">IFERROR(INDEX(DataTable[Действие],SMALL(IF(DataTable[Категория]=$D2,IF(DataTable[Окончание]&gt;=today,ROW(DataTable[Категория]),"")),J$1)-MATCH(DataTable[[#Headers],[№]],'эпапы, сроки'!$A$1:$A$65546)),"")</f>
        <v/>
      </c>
      <c r="K2" s="103" t="str">
        <f t="array" aca="1" ref="K2" ca="1">IFERROR(INDEX(DataTable[Действие],SMALL(IF(DataTable[Категория]=$D2,IF(DataTable[Окончание]&gt;=today,ROW(DataTable[Категория]),"")),K$1)-MATCH(DataTable[[#Headers],[№]],'эпапы, сроки'!$A$1:$A$65546)),"")</f>
        <v/>
      </c>
      <c r="L2" s="104" t="str">
        <f t="array" aca="1" ref="L2" ca="1">IFERROR(INDEX(DataTable[Окончание],SMALL(IF(DataTable[Категория]=$D2,IF(DataTable[Окончание]&gt;=today,ROW(DataTable[Категория]),"")),L$1)-MATCH(DataTable[[#Headers],[№]],'эпапы, сроки'!$A$1:$A$65546)),"")</f>
        <v/>
      </c>
      <c r="M2" s="104" t="str">
        <f t="array" aca="1" ref="M2" ca="1">IFERROR(INDEX(DataTable[Окончание],SMALL(IF(DataTable[Категория]=$D2,IF(DataTable[Окончание]&gt;=today,ROW(DataTable[Категория]),"")),M$1)-MATCH(DataTable[[#Headers],[№]],'эпапы, сроки'!$A$1:$A$65546)),"")</f>
        <v/>
      </c>
      <c r="N2" s="104" t="str">
        <f t="array" aca="1" ref="N2" ca="1">IFERROR(INDEX(DataTable[Окончание],SMALL(IF(DataTable[Категория]=$D2,IF(DataTable[Окончание]&gt;=today,ROW(DataTable[Категория]),"")),N$1)-MATCH(DataTable[[#Headers],[№]],'эпапы, сроки'!$A$1:$A$65546)),"")</f>
        <v/>
      </c>
      <c r="O2" s="104" t="str">
        <f t="array" aca="1" ref="O2" ca="1">IFERROR(INDEX(DataTable[Окончание],SMALL(IF(DataTable[Категория]=$D2,IF(DataTable[Окончание]&gt;=today,ROW(DataTable[Категория]),"")),O$1)-MATCH(DataTable[[#Headers],[№]],'эпапы, сроки'!$A$1:$A$65546)),"")</f>
        <v/>
      </c>
      <c r="P2" s="104" t="str">
        <f t="array" aca="1" ref="P2" ca="1">IFERROR(INDEX(DataTable[Окончание],SMALL(IF(DataTable[Категория]=$D2,IF(DataTable[Окончание]&gt;=today,ROW(DataTable[Категория]),"")),P$1)-MATCH(DataTable[[#Headers],[№]],'эпапы, сроки'!$A$1:$A$65546)),"")</f>
        <v/>
      </c>
      <c r="R2" s="105" t="s">
        <v>126</v>
      </c>
      <c r="S2" s="106">
        <f>COUNTIF(DataTable[Основание (НПА)],R2)</f>
        <v>1</v>
      </c>
      <c r="T2" s="107">
        <f t="array" ref="T2">SUM(--(DataTable[Основание (НПА)]=R2)*DataTable[%]*DataTable[Рабочих дней])/SUM(--(DataTable[Основание (НПА)]=R2)*DataTable[Рабочих дней])</f>
        <v>1</v>
      </c>
      <c r="U2" s="108" t="str">
        <f t="array" aca="1" ref="U2" ca="1">IFERROR(INDEX(DataTable[Действие],SMALL(IF(DataTable[Основание (НПА)]=$R2,IF(DataTable[Окончание]&gt;=today,ROW(DataTable[Основание (НПА)]),"")),U$1)-MATCH(DataTable[[#Headers],[№]],'эпапы, сроки'!$A$1:$A$65546)),"")</f>
        <v/>
      </c>
      <c r="V2" s="108" t="str">
        <f t="array" aca="1" ref="V2" ca="1">IFERROR(INDEX(DataTable[Действие],SMALL(IF(DataTable[Основание (НПА)]=$R2,IF(DataTable[Окончание]&gt;=today,ROW(DataTable[Основание (НПА)]),"")),V$1)-MATCH(DataTable[[#Headers],[№]],'эпапы, сроки'!$A$1:$A$65546)),"")</f>
        <v/>
      </c>
      <c r="W2" s="108" t="str">
        <f t="array" aca="1" ref="W2" ca="1">IFERROR(INDEX(DataTable[Действие],SMALL(IF(DataTable[Основание (НПА)]=$R2,IF(DataTable[Окончание]&gt;=today,ROW(DataTable[Основание (НПА)]),"")),W$1)-MATCH(DataTable[[#Headers],[№]],'эпапы, сроки'!$A$1:$A$65546)),"")</f>
        <v/>
      </c>
      <c r="X2" s="108" t="str">
        <f t="array" aca="1" ref="X2" ca="1">IFERROR(INDEX(DataTable[Действие],SMALL(IF(DataTable[Основание (НПА)]=$R2,IF(DataTable[Окончание]&gt;=today,ROW(DataTable[Основание (НПА)]),"")),X$1)-MATCH(DataTable[[#Headers],[№]],'эпапы, сроки'!$A$1:$A$65546)),"")</f>
        <v/>
      </c>
      <c r="Y2" s="108" t="str">
        <f t="array" aca="1" ref="Y2" ca="1">IFERROR(INDEX(DataTable[Действие],SMALL(IF(DataTable[Основание (НПА)]=$R2,IF(DataTable[Окончание]&gt;=today,ROW(DataTable[Основание (НПА)]),"")),Y$1)-MATCH(DataTable[[#Headers],[№]],'эпапы, сроки'!$A$1:$A$65546)),"")</f>
        <v/>
      </c>
      <c r="Z2" s="109" t="str">
        <f t="array" aca="1" ref="Z2" ca="1">IFERROR(INDEX(DataTable[Окончание],SMALL(IF(DataTable[Основание (НПА)]=$R2,IF(DataTable[Окончание]&gt;=today,ROW(DataTable[Категория]),"")),Z$1)-MATCH(DataTable[[#Headers],[№]],'эпапы, сроки'!$A$1:$A$65546)),"")</f>
        <v/>
      </c>
      <c r="AA2" s="109" t="str">
        <f t="array" aca="1" ref="AA2" ca="1">IFERROR(INDEX(DataTable[Окончание],SMALL(IF(DataTable[Основание (НПА)]=$R2,IF(DataTable[Окончание]&gt;=today,ROW(DataTable[Категория]),"")),AA$1)-MATCH(DataTable[[#Headers],[№]],'эпапы, сроки'!$A$1:$A$65546)),"")</f>
        <v/>
      </c>
      <c r="AB2" s="109" t="str">
        <f t="array" aca="1" ref="AB2" ca="1">IFERROR(INDEX(DataTable[Окончание],SMALL(IF(DataTable[Основание (НПА)]=$R2,IF(DataTable[Окончание]&gt;=today,ROW(DataTable[Категория]),"")),AB$1)-MATCH(DataTable[[#Headers],[№]],'эпапы, сроки'!$A$1:$A$65546)),"")</f>
        <v/>
      </c>
      <c r="AC2" s="109" t="str">
        <f t="array" aca="1" ref="AC2" ca="1">IFERROR(INDEX(DataTable[Окончание],SMALL(IF(DataTable[Основание (НПА)]=$R2,IF(DataTable[Окончание]&gt;=today,ROW(DataTable[Категория]),"")),AC$1)-MATCH(DataTable[[#Headers],[№]],'эпапы, сроки'!$A$1:$A$65546)),"")</f>
        <v/>
      </c>
      <c r="AD2" s="109" t="str">
        <f t="array" aca="1" ref="AD2" ca="1">IFERROR(INDEX(DataTable[Окончание],SMALL(IF(DataTable[Основание (НПА)]=$R2,IF(DataTable[Окончание]&gt;=today,ROW(DataTable[Категория]),"")),AD$1)-MATCH(DataTable[[#Headers],[№]],'эпапы, сроки'!$A$1:$A$65546)),"")</f>
        <v/>
      </c>
      <c r="AF2" s="110">
        <v>43098</v>
      </c>
      <c r="AG2" s="100" t="s">
        <v>110</v>
      </c>
      <c r="AH2" s="97"/>
    </row>
    <row r="3" spans="1:34" x14ac:dyDescent="0.2">
      <c r="A3" s="98">
        <v>43125</v>
      </c>
      <c r="B3" s="99">
        <v>2</v>
      </c>
      <c r="D3" s="100" t="s">
        <v>74</v>
      </c>
      <c r="E3" s="101">
        <v>7</v>
      </c>
      <c r="F3" s="102">
        <f t="array" ref="F3">SUM(--(DataTable[Категория]=D3)*DataTable[%]*DataTable[Рабочих дней])/SUM(--(DataTable[Категория]=D3)*DataTable[Рабочих дней])</f>
        <v>0.52096774193548379</v>
      </c>
      <c r="G3" s="103" t="str">
        <f t="array" aca="1" ref="G3" ca="1">IFERROR(INDEX(DataTable[Действие],SMALL(IF(DataTable[Категория]=$D3,IF(DataTable[Окончание]&gt;=today,ROW(DataTable[Категория]),"")),G$1)-MATCH(DataTable[[#Headers],[№]],'эпапы, сроки'!$A$1:$A$65546)),"")</f>
        <v>Мониторинг качества управления муниципальными финансами (II квартал)</v>
      </c>
      <c r="H3" s="103" t="str">
        <f t="array" aca="1" ref="H3" ca="1">IFERROR(INDEX(DataTable[Действие],SMALL(IF(DataTable[Категория]=$D3,IF(DataTable[Окончание]&gt;=today,ROW(DataTable[Категория]),"")),H$1)-MATCH(DataTable[[#Headers],[№]],'эпапы, сроки'!$A$1:$A$65546)),"")</f>
        <v>Оценка эффективности предоставленных и планируемых к предоставлению налоговых льгот</v>
      </c>
      <c r="I3" s="103" t="str">
        <f t="array" aca="1" ref="I3" ca="1">IFERROR(INDEX(DataTable[Действие],SMALL(IF(DataTable[Категория]=$D3,IF(DataTable[Окончание]&gt;=today,ROW(DataTable[Категория]),"")),I$1)-MATCH(DataTable[[#Headers],[№]],'эпапы, сроки'!$A$1:$A$65546)),"")</f>
        <v>Мониторинг качества управления муниципальными финансами (III квартал)</v>
      </c>
      <c r="J3" s="103" t="str">
        <f t="array" aca="1" ref="J3" ca="1">IFERROR(INDEX(DataTable[Действие],SMALL(IF(DataTable[Категория]=$D3,IF(DataTable[Окончание]&gt;=today,ROW(DataTable[Категория]),"")),J$1)-MATCH(DataTable[[#Headers],[№]],'эпапы, сроки'!$A$1:$A$65546)),"")</f>
        <v>Мониторинг качества управления муниципальными финансами (IV квартал, за год)</v>
      </c>
      <c r="K3" s="103" t="str">
        <f t="array" aca="1" ref="K3" ca="1">IFERROR(INDEX(DataTable[Действие],SMALL(IF(DataTable[Категория]=$D3,IF(DataTable[Окончание]&gt;=today,ROW(DataTable[Категория]),"")),K$1)-MATCH(DataTable[[#Headers],[№]],'эпапы, сроки'!$A$1:$A$65546)),"")</f>
        <v/>
      </c>
      <c r="L3" s="104">
        <f t="array" aca="1" ref="L3" ca="1">IFERROR(INDEX(DataTable[Окончание],SMALL(IF(DataTable[Категория]=$D3,IF(DataTable[Окончание]&gt;=today,ROW(DataTable[Категория]),"")),L$1)-MATCH(DataTable[[#Headers],[№]],'эпапы, сроки'!$A$1:$A$65546)),"")</f>
        <v>43311</v>
      </c>
      <c r="M3" s="104">
        <f t="array" aca="1" ref="M3" ca="1">IFERROR(INDEX(DataTable[Окончание],SMALL(IF(DataTable[Категория]=$D3,IF(DataTable[Окончание]&gt;=today,ROW(DataTable[Категория]),"")),M$1)-MATCH(DataTable[[#Headers],[№]],'эпапы, сроки'!$A$1:$A$65546)),"")</f>
        <v>43344</v>
      </c>
      <c r="N3" s="104">
        <f t="array" aca="1" ref="N3" ca="1">IFERROR(INDEX(DataTable[Окончание],SMALL(IF(DataTable[Категория]=$D3,IF(DataTable[Окончание]&gt;=today,ROW(DataTable[Категория]),"")),N$1)-MATCH(DataTable[[#Headers],[№]],'эпапы, сроки'!$A$1:$A$65546)),"")</f>
        <v>43403</v>
      </c>
      <c r="O3" s="104">
        <f t="array" aca="1" ref="O3" ca="1">IFERROR(INDEX(DataTable[Окончание],SMALL(IF(DataTable[Категория]=$D3,IF(DataTable[Окончание]&gt;=today,ROW(DataTable[Категория]),"")),O$1)-MATCH(DataTable[[#Headers],[№]],'эпапы, сроки'!$A$1:$A$65546)),"")</f>
        <v>43495</v>
      </c>
      <c r="P3" s="104" t="str">
        <f t="array" aca="1" ref="P3" ca="1">IFERROR(INDEX(DataTable[Окончание],SMALL(IF(DataTable[Категория]=$D3,IF(DataTable[Окончание]&gt;=today,ROW(DataTable[Категория]),"")),P$1)-MATCH(DataTable[[#Headers],[№]],'эпапы, сроки'!$A$1:$A$65546)),"")</f>
        <v/>
      </c>
      <c r="R3" s="105" t="s">
        <v>127</v>
      </c>
      <c r="S3" s="106">
        <f>COUNTIF(DataTable[Основание (НПА)],R3)</f>
        <v>1</v>
      </c>
      <c r="T3" s="107">
        <f t="array" ref="T3">SUM(--(DataTable[Основание (НПА)]=R3)*DataTable[%]*DataTable[Рабочих дней])/SUM(--(DataTable[Основание (НПА)]=R3)*DataTable[Рабочих дней])</f>
        <v>1</v>
      </c>
      <c r="U3" s="108" t="str">
        <f t="array" aca="1" ref="U3" ca="1">IFERROR(INDEX(DataTable[Действие],SMALL(IF(DataTable[Основание (НПА)]=$R3,IF(DataTable[Окончание]&gt;=today,ROW(DataTable[Основание (НПА)]),"")),U$1)-MATCH(DataTable[[#Headers],[№]],'эпапы, сроки'!$A$1:$A$65546)),"")</f>
        <v/>
      </c>
      <c r="V3" s="108" t="str">
        <f t="array" aca="1" ref="V3" ca="1">IFERROR(INDEX(DataTable[Действие],SMALL(IF(DataTable[Основание (НПА)]=$R3,IF(DataTable[Окончание]&gt;=today,ROW(DataTable[Основание (НПА)]),"")),V$1)-MATCH(DataTable[[#Headers],[№]],'эпапы, сроки'!$A$1:$A$65546)),"")</f>
        <v/>
      </c>
      <c r="W3" s="108" t="str">
        <f t="array" aca="1" ref="W3" ca="1">IFERROR(INDEX(DataTable[Действие],SMALL(IF(DataTable[Основание (НПА)]=$R3,IF(DataTable[Окончание]&gt;=today,ROW(DataTable[Основание (НПА)]),"")),W$1)-MATCH(DataTable[[#Headers],[№]],'эпапы, сроки'!$A$1:$A$65546)),"")</f>
        <v/>
      </c>
      <c r="X3" s="108" t="str">
        <f t="array" aca="1" ref="X3" ca="1">IFERROR(INDEX(DataTable[Действие],SMALL(IF(DataTable[Основание (НПА)]=$R3,IF(DataTable[Окончание]&gt;=today,ROW(DataTable[Основание (НПА)]),"")),X$1)-MATCH(DataTable[[#Headers],[№]],'эпапы, сроки'!$A$1:$A$65546)),"")</f>
        <v/>
      </c>
      <c r="Y3" s="108" t="str">
        <f t="array" aca="1" ref="Y3" ca="1">IFERROR(INDEX(DataTable[Действие],SMALL(IF(DataTable[Основание (НПА)]=$R3,IF(DataTable[Окончание]&gt;=today,ROW(DataTable[Основание (НПА)]),"")),Y$1)-MATCH(DataTable[[#Headers],[№]],'эпапы, сроки'!$A$1:$A$65546)),"")</f>
        <v/>
      </c>
      <c r="Z3" s="109" t="str">
        <f t="array" aca="1" ref="Z3" ca="1">IFERROR(INDEX(DataTable[Окончание],SMALL(IF(DataTable[Основание (НПА)]=$R3,IF(DataTable[Окончание]&gt;=today,ROW(DataTable[Категория]),"")),Z$1)-MATCH(DataTable[[#Headers],[№]],'эпапы, сроки'!$A$1:$A$65546)),"")</f>
        <v/>
      </c>
      <c r="AA3" s="109" t="str">
        <f t="array" aca="1" ref="AA3" ca="1">IFERROR(INDEX(DataTable[Окончание],SMALL(IF(DataTable[Основание (НПА)]=$R3,IF(DataTable[Окончание]&gt;=today,ROW(DataTable[Категория]),"")),AA$1)-MATCH(DataTable[[#Headers],[№]],'эпапы, сроки'!$A$1:$A$65546)),"")</f>
        <v/>
      </c>
      <c r="AB3" s="109" t="str">
        <f t="array" aca="1" ref="AB3" ca="1">IFERROR(INDEX(DataTable[Окончание],SMALL(IF(DataTable[Основание (НПА)]=$R3,IF(DataTable[Окончание]&gt;=today,ROW(DataTable[Категория]),"")),AB$1)-MATCH(DataTable[[#Headers],[№]],'эпапы, сроки'!$A$1:$A$65546)),"")</f>
        <v/>
      </c>
      <c r="AC3" s="109" t="str">
        <f t="array" aca="1" ref="AC3" ca="1">IFERROR(INDEX(DataTable[Окончание],SMALL(IF(DataTable[Основание (НПА)]=$R3,IF(DataTable[Окончание]&gt;=today,ROW(DataTable[Категория]),"")),AC$1)-MATCH(DataTable[[#Headers],[№]],'эпапы, сроки'!$A$1:$A$65546)),"")</f>
        <v/>
      </c>
      <c r="AD3" s="109" t="str">
        <f t="array" aca="1" ref="AD3" ca="1">IFERROR(INDEX(DataTable[Окончание],SMALL(IF(DataTable[Основание (НПА)]=$R3,IF(DataTable[Окончание]&gt;=today,ROW(DataTable[Категория]),"")),AD$1)-MATCH(DataTable[[#Headers],[№]],'эпапы, сроки'!$A$1:$A$65546)),"")</f>
        <v/>
      </c>
      <c r="AF3" s="110">
        <v>43098</v>
      </c>
      <c r="AG3" s="100" t="s">
        <v>118</v>
      </c>
      <c r="AH3" s="97"/>
    </row>
    <row r="4" spans="1:34" x14ac:dyDescent="0.2">
      <c r="A4" s="98">
        <v>43132</v>
      </c>
      <c r="B4" s="99">
        <v>3</v>
      </c>
      <c r="D4" s="100" t="s">
        <v>69</v>
      </c>
      <c r="E4" s="101">
        <v>2</v>
      </c>
      <c r="F4" s="102">
        <f t="array" ref="F4">SUM(--(DataTable[Категория]=D4)*DataTable[%]*DataTable[Рабочих дней])/SUM(--(DataTable[Категория]=D4)*DataTable[Рабочих дней])</f>
        <v>0.65573770491803274</v>
      </c>
      <c r="G4" s="103" t="str">
        <f t="array" aca="1" ref="G4" ca="1">IFERROR(INDEX(DataTable[Действие],SMALL(IF(DataTable[Категория]=$D4,IF(DataTable[Окончание]&gt;=today,ROW(DataTable[Категория]),"")),G$1)-MATCH(DataTable[[#Headers],[№]],'эпапы, сроки'!$A$1:$A$65546)),"")</f>
        <v>Отчет о выполнении условий соглашения о предоставлении дотации на выравнивание бюджетной обеспеченности (ежеквартально)</v>
      </c>
      <c r="H4" s="103" t="str">
        <f t="array" aca="1" ref="H4" ca="1">IFERROR(INDEX(DataTable[Действие],SMALL(IF(DataTable[Категория]=$D4,IF(DataTable[Окончание]&gt;=today,ROW(DataTable[Категория]),"")),H$1)-MATCH(DataTable[[#Headers],[№]],'эпапы, сроки'!$A$1:$A$65546)),"")</f>
        <v>Отчет о выполнении условий соглашения о предоставлении дотации на выравнивание бюджетной обеспеченности (ежеквартально)</v>
      </c>
      <c r="I4" s="103" t="str">
        <f t="array" aca="1" ref="I4" ca="1">IFERROR(INDEX(DataTable[Действие],SMALL(IF(DataTable[Категория]=$D4,IF(DataTable[Окончание]&gt;=today,ROW(DataTable[Категория]),"")),I$1)-MATCH(DataTable[[#Headers],[№]],'эпапы, сроки'!$A$1:$A$65546)),"")</f>
        <v>Отчет о выполнении условий соглашения о предоставлении дотации на выравнивание бюджетной обеспеченности (ежеквартально)</v>
      </c>
      <c r="J4" s="103" t="str">
        <f t="array" aca="1" ref="J4" ca="1">IFERROR(INDEX(DataTable[Действие],SMALL(IF(DataTable[Категория]=$D4,IF(DataTable[Окончание]&gt;=today,ROW(DataTable[Категория]),"")),J$1)-MATCH(DataTable[[#Headers],[№]],'эпапы, сроки'!$A$1:$A$65546)),"")</f>
        <v/>
      </c>
      <c r="K4" s="103" t="str">
        <f t="array" aca="1" ref="K4" ca="1">IFERROR(INDEX(DataTable[Действие],SMALL(IF(DataTable[Категория]=$D4,IF(DataTable[Окончание]&gt;=today,ROW(DataTable[Категория]),"")),K$1)-MATCH(DataTable[[#Headers],[№]],'эпапы, сроки'!$A$1:$A$65546)),"")</f>
        <v/>
      </c>
      <c r="L4" s="104">
        <f t="array" aca="1" ref="L4" ca="1">IFERROR(INDEX(DataTable[Окончание],SMALL(IF(DataTable[Категория]=$D4,IF(DataTable[Окончание]&gt;=today,ROW(DataTable[Категория]),"")),L$1)-MATCH(DataTable[[#Headers],[№]],'эпапы, сроки'!$A$1:$A$65546)),"")</f>
        <v>43301</v>
      </c>
      <c r="M4" s="104">
        <f t="array" aca="1" ref="M4" ca="1">IFERROR(INDEX(DataTable[Окончание],SMALL(IF(DataTable[Категория]=$D4,IF(DataTable[Окончание]&gt;=today,ROW(DataTable[Категория]),"")),M$1)-MATCH(DataTable[[#Headers],[№]],'эпапы, сроки'!$A$1:$A$65546)),"")</f>
        <v>43393</v>
      </c>
      <c r="N4" s="104">
        <f t="array" aca="1" ref="N4" ca="1">IFERROR(INDEX(DataTable[Окончание],SMALL(IF(DataTable[Категория]=$D4,IF(DataTable[Окончание]&gt;=today,ROW(DataTable[Категория]),"")),N$1)-MATCH(DataTable[[#Headers],[№]],'эпапы, сроки'!$A$1:$A$65546)),"")</f>
        <v>43485</v>
      </c>
      <c r="O4" s="104" t="str">
        <f t="array" aca="1" ref="O4" ca="1">IFERROR(INDEX(DataTable[Окончание],SMALL(IF(DataTable[Категория]=$D4,IF(DataTable[Окончание]&gt;=today,ROW(DataTable[Категория]),"")),O$1)-MATCH(DataTable[[#Headers],[№]],'эпапы, сроки'!$A$1:$A$65546)),"")</f>
        <v/>
      </c>
      <c r="P4" s="104" t="str">
        <f t="array" aca="1" ref="P4" ca="1">IFERROR(INDEX(DataTable[Окончание],SMALL(IF(DataTable[Категория]=$D4,IF(DataTable[Окончание]&gt;=today,ROW(DataTable[Категория]),"")),P$1)-MATCH(DataTable[[#Headers],[№]],'эпапы, сроки'!$A$1:$A$65546)),"")</f>
        <v/>
      </c>
      <c r="R4" s="105" t="s">
        <v>84</v>
      </c>
      <c r="S4" s="106">
        <f>COUNTIF(DataTable[Основание (НПА)],R4)</f>
        <v>27</v>
      </c>
      <c r="T4" s="107">
        <f t="array" ref="T4">SUM(--(DataTable[Основание (НПА)]=R4)*DataTable[%]*DataTable[Рабочих дней])/SUM(--(DataTable[Основание (НПА)]=R4)*DataTable[Рабочих дней])</f>
        <v>0.46153846153846156</v>
      </c>
      <c r="U4" s="108" t="str">
        <f t="array" aca="1" ref="U4" ca="1">IFERROR(INDEX(DataTable[Действие],SMALL(IF(DataTable[Основание (НПА)]=$R4,IF(DataTable[Окончание]&gt;=today,ROW(DataTable[Основание (НПА)]),"")),U$1)-MATCH(DataTable[[#Headers],[№]],'эпапы, сроки'!$A$1:$A$65546)),"")</f>
        <v>Уплата юридическими лицами и ИП единого налога на вмененный доход</v>
      </c>
      <c r="V4" s="108" t="str">
        <f t="array" aca="1" ref="V4" ca="1">IFERROR(INDEX(DataTable[Действие],SMALL(IF(DataTable[Основание (НПА)]=$R4,IF(DataTable[Окончание]&gt;=today,ROW(DataTable[Основание (НПА)]),"")),V$1)-MATCH(DataTable[[#Headers],[№]],'эпапы, сроки'!$A$1:$A$65546)),"")</f>
        <v>Уплата юридическими лицами и ИП единого сельскохозяйственного налога</v>
      </c>
      <c r="W4" s="108" t="str">
        <f t="array" aca="1" ref="W4" ca="1">IFERROR(INDEX(DataTable[Действие],SMALL(IF(DataTable[Основание (НПА)]=$R4,IF(DataTable[Окончание]&gt;=today,ROW(DataTable[Основание (НПА)]),"")),W$1)-MATCH(DataTable[[#Headers],[№]],'эпапы, сроки'!$A$1:$A$65546)),"")</f>
        <v>Уплата юридическими лицами налога на прибыль организаций (ежеквартальные авансовые платежи)</v>
      </c>
      <c r="X4" s="108" t="str">
        <f t="array" aca="1" ref="X4" ca="1">IFERROR(INDEX(DataTable[Действие],SMALL(IF(DataTable[Основание (НПА)]=$R4,IF(DataTable[Окончание]&gt;=today,ROW(DataTable[Основание (НПА)]),"")),X$1)-MATCH(DataTable[[#Headers],[№]],'эпапы, сроки'!$A$1:$A$65546)),"")</f>
        <v>Уплата юридическими лицами земельного налога</v>
      </c>
      <c r="Y4" s="108" t="str">
        <f t="array" aca="1" ref="Y4" ca="1">IFERROR(INDEX(DataTable[Действие],SMALL(IF(DataTable[Основание (НПА)]=$R4,IF(DataTable[Окончание]&gt;=today,ROW(DataTable[Основание (НПА)]),"")),Y$1)-MATCH(DataTable[[#Headers],[№]],'эпапы, сроки'!$A$1:$A$65546)),"")</f>
        <v>Уплата юридическими лицами транспортного налога</v>
      </c>
      <c r="Z4" s="109">
        <f t="array" aca="1" ref="Z4" ca="1">IFERROR(INDEX(DataTable[Окончание],SMALL(IF(DataTable[Основание (НПА)]=$R4,IF(DataTable[Окончание]&gt;=today,ROW(DataTable[Категория]),"")),Z$1)-MATCH(DataTable[[#Headers],[№]],'эпапы, сроки'!$A$1:$A$65546)),"")</f>
        <v>43306</v>
      </c>
      <c r="AA4" s="109">
        <f t="array" aca="1" ref="AA4" ca="1">IFERROR(INDEX(DataTable[Окончание],SMALL(IF(DataTable[Основание (НПА)]=$R4,IF(DataTable[Окончание]&gt;=today,ROW(DataTable[Категория]),"")),AA$1)-MATCH(DataTable[[#Headers],[№]],'эпапы, сроки'!$A$1:$A$65546)),"")</f>
        <v>43306</v>
      </c>
      <c r="AB4" s="109">
        <f t="array" aca="1" ref="AB4" ca="1">IFERROR(INDEX(DataTable[Окончание],SMALL(IF(DataTable[Основание (НПА)]=$R4,IF(DataTable[Окончание]&gt;=today,ROW(DataTable[Категория]),"")),AB$1)-MATCH(DataTable[[#Headers],[№]],'эпапы, сроки'!$A$1:$A$65546)),"")</f>
        <v>43311</v>
      </c>
      <c r="AC4" s="109">
        <f t="array" aca="1" ref="AC4" ca="1">IFERROR(INDEX(DataTable[Окончание],SMALL(IF(DataTable[Основание (НПА)]=$R4,IF(DataTable[Окончание]&gt;=today,ROW(DataTable[Категория]),"")),AC$1)-MATCH(DataTable[[#Headers],[№]],'эпапы, сроки'!$A$1:$A$65546)),"")</f>
        <v>43311</v>
      </c>
      <c r="AD4" s="109">
        <f t="array" aca="1" ref="AD4" ca="1">IFERROR(INDEX(DataTable[Окончание],SMALL(IF(DataTable[Основание (НПА)]=$R4,IF(DataTable[Окончание]&gt;=today,ROW(DataTable[Категория]),"")),AD$1)-MATCH(DataTable[[#Headers],[№]],'эпапы, сроки'!$A$1:$A$65546)),"")</f>
        <v>43312</v>
      </c>
      <c r="AF4" s="110">
        <v>43125</v>
      </c>
      <c r="AG4" s="100" t="s">
        <v>90</v>
      </c>
      <c r="AH4" s="97"/>
    </row>
    <row r="5" spans="1:34" x14ac:dyDescent="0.2">
      <c r="A5" s="98">
        <v>43152</v>
      </c>
      <c r="B5" s="99">
        <v>1</v>
      </c>
      <c r="D5" s="100" t="s">
        <v>87</v>
      </c>
      <c r="E5" s="101">
        <v>27</v>
      </c>
      <c r="F5" s="102">
        <f t="array" ref="F5">SUM(--(DataTable[Категория]=D5)*DataTable[%]*DataTable[Рабочих дней])/SUM(--(DataTable[Категория]=D5)*DataTable[Рабочих дней])</f>
        <v>0.46153846153846156</v>
      </c>
      <c r="G5" s="103" t="str">
        <f t="array" aca="1" ref="G5" ca="1">IFERROR(INDEX(DataTable[Действие],SMALL(IF(DataTable[Категория]=$D5,IF(DataTable[Окончание]&gt;=today,ROW(DataTable[Категория]),"")),G$1)-MATCH(DataTable[[#Headers],[№]],'эпапы, сроки'!$A$1:$A$65546)),"")</f>
        <v>Уплата юридическими лицами и ИП единого налога на вмененный доход</v>
      </c>
      <c r="H5" s="103" t="str">
        <f t="array" aca="1" ref="H5" ca="1">IFERROR(INDEX(DataTable[Действие],SMALL(IF(DataTable[Категория]=$D5,IF(DataTable[Окончание]&gt;=today,ROW(DataTable[Категория]),"")),H$1)-MATCH(DataTable[[#Headers],[№]],'эпапы, сроки'!$A$1:$A$65546)),"")</f>
        <v>Уплата юридическими лицами и ИП единого сельскохозяйственного налога</v>
      </c>
      <c r="I5" s="103" t="str">
        <f t="array" aca="1" ref="I5" ca="1">IFERROR(INDEX(DataTable[Действие],SMALL(IF(DataTable[Категория]=$D5,IF(DataTable[Окончание]&gt;=today,ROW(DataTable[Категория]),"")),I$1)-MATCH(DataTable[[#Headers],[№]],'эпапы, сроки'!$A$1:$A$65546)),"")</f>
        <v>Уплата юридическими лицами налога на прибыль организаций (ежеквартальные авансовые платежи)</v>
      </c>
      <c r="J5" s="103" t="str">
        <f t="array" aca="1" ref="J5" ca="1">IFERROR(INDEX(DataTable[Действие],SMALL(IF(DataTable[Категория]=$D5,IF(DataTable[Окончание]&gt;=today,ROW(DataTable[Категория]),"")),J$1)-MATCH(DataTable[[#Headers],[№]],'эпапы, сроки'!$A$1:$A$65546)),"")</f>
        <v>Уплата юридическими лицами земельного налога</v>
      </c>
      <c r="K5" s="103" t="str">
        <f t="array" aca="1" ref="K5" ca="1">IFERROR(INDEX(DataTable[Действие],SMALL(IF(DataTable[Категория]=$D5,IF(DataTable[Окончание]&gt;=today,ROW(DataTable[Категория]),"")),K$1)-MATCH(DataTable[[#Headers],[№]],'эпапы, сроки'!$A$1:$A$65546)),"")</f>
        <v>Уплата юридическими лицами транспортного налога</v>
      </c>
      <c r="L5" s="104">
        <f t="array" aca="1" ref="L5" ca="1">IFERROR(INDEX(DataTable[Окончание],SMALL(IF(DataTable[Категория]=$D5,IF(DataTable[Окончание]&gt;=today,ROW(DataTable[Категория]),"")),L$1)-MATCH(DataTable[[#Headers],[№]],'эпапы, сроки'!$A$1:$A$65546)),"")</f>
        <v>43306</v>
      </c>
      <c r="M5" s="104">
        <f t="array" aca="1" ref="M5" ca="1">IFERROR(INDEX(DataTable[Окончание],SMALL(IF(DataTable[Категория]=$D5,IF(DataTable[Окончание]&gt;=today,ROW(DataTable[Категория]),"")),M$1)-MATCH(DataTable[[#Headers],[№]],'эпапы, сроки'!$A$1:$A$65546)),"")</f>
        <v>43306</v>
      </c>
      <c r="N5" s="104">
        <f t="array" aca="1" ref="N5" ca="1">IFERROR(INDEX(DataTable[Окончание],SMALL(IF(DataTable[Категория]=$D5,IF(DataTable[Окончание]&gt;=today,ROW(DataTable[Категория]),"")),N$1)-MATCH(DataTable[[#Headers],[№]],'эпапы, сроки'!$A$1:$A$65546)),"")</f>
        <v>43311</v>
      </c>
      <c r="O5" s="104">
        <f t="array" aca="1" ref="O5" ca="1">IFERROR(INDEX(DataTable[Окончание],SMALL(IF(DataTable[Категория]=$D5,IF(DataTable[Окончание]&gt;=today,ROW(DataTable[Категория]),"")),O$1)-MATCH(DataTable[[#Headers],[№]],'эпапы, сроки'!$A$1:$A$65546)),"")</f>
        <v>43311</v>
      </c>
      <c r="P5" s="104">
        <f t="array" aca="1" ref="P5" ca="1">IFERROR(INDEX(DataTable[Окончание],SMALL(IF(DataTable[Категория]=$D5,IF(DataTable[Окончание]&gt;=today,ROW(DataTable[Категория]),"")),P$1)-MATCH(DataTable[[#Headers],[№]],'эпапы, сроки'!$A$1:$A$65546)),"")</f>
        <v>43312</v>
      </c>
      <c r="R5" s="105" t="s">
        <v>128</v>
      </c>
      <c r="S5" s="106">
        <f>COUNTIF(DataTable[Основание (НПА)],R5)</f>
        <v>4</v>
      </c>
      <c r="T5" s="107">
        <f t="array" ref="T5">SUM(--(DataTable[Основание (НПА)]=R5)*DataTable[%]*DataTable[Рабочих дней])/SUM(--(DataTable[Основание (НПА)]=R5)*DataTable[Рабочих дней])</f>
        <v>1</v>
      </c>
      <c r="U5" s="108" t="str">
        <f t="array" aca="1" ref="U5" ca="1">IFERROR(INDEX(DataTable[Действие],SMALL(IF(DataTable[Основание (НПА)]=$R5,IF(DataTable[Окончание]&gt;=today,ROW(DataTable[Основание (НПА)]),"")),U$1)-MATCH(DataTable[[#Headers],[№]],'эпапы, сроки'!$A$1:$A$65546)),"")</f>
        <v/>
      </c>
      <c r="V5" s="108" t="str">
        <f t="array" aca="1" ref="V5" ca="1">IFERROR(INDEX(DataTable[Действие],SMALL(IF(DataTable[Основание (НПА)]=$R5,IF(DataTable[Окончание]&gt;=today,ROW(DataTable[Основание (НПА)]),"")),V$1)-MATCH(DataTable[[#Headers],[№]],'эпапы, сроки'!$A$1:$A$65546)),"")</f>
        <v/>
      </c>
      <c r="W5" s="108" t="str">
        <f t="array" aca="1" ref="W5" ca="1">IFERROR(INDEX(DataTable[Действие],SMALL(IF(DataTable[Основание (НПА)]=$R5,IF(DataTable[Окончание]&gt;=today,ROW(DataTable[Основание (НПА)]),"")),W$1)-MATCH(DataTable[[#Headers],[№]],'эпапы, сроки'!$A$1:$A$65546)),"")</f>
        <v/>
      </c>
      <c r="X5" s="108" t="str">
        <f t="array" aca="1" ref="X5" ca="1">IFERROR(INDEX(DataTable[Действие],SMALL(IF(DataTable[Основание (НПА)]=$R5,IF(DataTable[Окончание]&gt;=today,ROW(DataTable[Основание (НПА)]),"")),X$1)-MATCH(DataTable[[#Headers],[№]],'эпапы, сроки'!$A$1:$A$65546)),"")</f>
        <v/>
      </c>
      <c r="Y5" s="108" t="str">
        <f t="array" aca="1" ref="Y5" ca="1">IFERROR(INDEX(DataTable[Действие],SMALL(IF(DataTable[Основание (НПА)]=$R5,IF(DataTable[Окончание]&gt;=today,ROW(DataTable[Основание (НПА)]),"")),Y$1)-MATCH(DataTable[[#Headers],[№]],'эпапы, сроки'!$A$1:$A$65546)),"")</f>
        <v/>
      </c>
      <c r="Z5" s="109" t="str">
        <f t="array" aca="1" ref="Z5" ca="1">IFERROR(INDEX(DataTable[Окончание],SMALL(IF(DataTable[Основание (НПА)]=$R5,IF(DataTable[Окончание]&gt;=today,ROW(DataTable[Категория]),"")),Z$1)-MATCH(DataTable[[#Headers],[№]],'эпапы, сроки'!$A$1:$A$65546)),"")</f>
        <v/>
      </c>
      <c r="AA5" s="109" t="str">
        <f t="array" aca="1" ref="AA5" ca="1">IFERROR(INDEX(DataTable[Окончание],SMALL(IF(DataTable[Основание (НПА)]=$R5,IF(DataTable[Окончание]&gt;=today,ROW(DataTable[Категория]),"")),AA$1)-MATCH(DataTable[[#Headers],[№]],'эпапы, сроки'!$A$1:$A$65546)),"")</f>
        <v/>
      </c>
      <c r="AB5" s="109" t="str">
        <f t="array" aca="1" ref="AB5" ca="1">IFERROR(INDEX(DataTable[Окончание],SMALL(IF(DataTable[Основание (НПА)]=$R5,IF(DataTable[Окончание]&gt;=today,ROW(DataTable[Категория]),"")),AB$1)-MATCH(DataTable[[#Headers],[№]],'эпапы, сроки'!$A$1:$A$65546)),"")</f>
        <v/>
      </c>
      <c r="AC5" s="109" t="str">
        <f t="array" aca="1" ref="AC5" ca="1">IFERROR(INDEX(DataTable[Окончание],SMALL(IF(DataTable[Основание (НПА)]=$R5,IF(DataTable[Окончание]&gt;=today,ROW(DataTable[Категория]),"")),AC$1)-MATCH(DataTable[[#Headers],[№]],'эпапы, сроки'!$A$1:$A$65546)),"")</f>
        <v/>
      </c>
      <c r="AD5" s="109" t="str">
        <f t="array" aca="1" ref="AD5" ca="1">IFERROR(INDEX(DataTable[Окончание],SMALL(IF(DataTable[Основание (НПА)]=$R5,IF(DataTable[Окончание]&gt;=today,ROW(DataTable[Категория]),"")),AD$1)-MATCH(DataTable[[#Headers],[№]],'эпапы, сроки'!$A$1:$A$65546)),"")</f>
        <v/>
      </c>
      <c r="AF5" s="110">
        <v>43125</v>
      </c>
      <c r="AG5" s="100" t="s">
        <v>93</v>
      </c>
      <c r="AH5" s="97"/>
    </row>
    <row r="6" spans="1:34" x14ac:dyDescent="0.2">
      <c r="A6" s="98">
        <v>43179</v>
      </c>
      <c r="B6" s="99">
        <v>1</v>
      </c>
      <c r="D6" s="100" t="s">
        <v>119</v>
      </c>
      <c r="E6" s="101">
        <v>2</v>
      </c>
      <c r="F6" s="102">
        <f t="array" ref="F6">SUM(--(DataTable[Категория]=D6)*DataTable[%]*DataTable[Рабочих дней])/SUM(--(DataTable[Категория]=D6)*DataTable[Рабочих дней])</f>
        <v>1</v>
      </c>
      <c r="G6" s="103" t="str">
        <f t="array" aca="1" ref="G6" ca="1">IFERROR(INDEX(DataTable[Действие],SMALL(IF(DataTable[Категория]=$D6,IF(DataTable[Окончание]&gt;=today,ROW(DataTable[Категория]),"")),G$1)-MATCH(DataTable[[#Headers],[№]],'эпапы, сроки'!$A$1:$A$65546)),"")</f>
        <v/>
      </c>
      <c r="H6" s="103" t="str">
        <f t="array" aca="1" ref="H6" ca="1">IFERROR(INDEX(DataTable[Действие],SMALL(IF(DataTable[Категория]=$D6,IF(DataTable[Окончание]&gt;=today,ROW(DataTable[Категория]),"")),H$1)-MATCH(DataTable[[#Headers],[№]],'эпапы, сроки'!$A$1:$A$65546)),"")</f>
        <v/>
      </c>
      <c r="I6" s="103" t="str">
        <f t="array" aca="1" ref="I6" ca="1">IFERROR(INDEX(DataTable[Действие],SMALL(IF(DataTable[Категория]=$D6,IF(DataTable[Окончание]&gt;=today,ROW(DataTable[Категория]),"")),I$1)-MATCH(DataTable[[#Headers],[№]],'эпапы, сроки'!$A$1:$A$65546)),"")</f>
        <v/>
      </c>
      <c r="J6" s="103" t="str">
        <f t="array" aca="1" ref="J6" ca="1">IFERROR(INDEX(DataTable[Действие],SMALL(IF(DataTable[Категория]=$D6,IF(DataTable[Окончание]&gt;=today,ROW(DataTable[Категория]),"")),J$1)-MATCH(DataTable[[#Headers],[№]],'эпапы, сроки'!$A$1:$A$65546)),"")</f>
        <v/>
      </c>
      <c r="K6" s="103" t="str">
        <f t="array" aca="1" ref="K6" ca="1">IFERROR(INDEX(DataTable[Действие],SMALL(IF(DataTable[Категория]=$D6,IF(DataTable[Окончание]&gt;=today,ROW(DataTable[Категория]),"")),K$1)-MATCH(DataTable[[#Headers],[№]],'эпапы, сроки'!$A$1:$A$65546)),"")</f>
        <v/>
      </c>
      <c r="L6" s="104" t="str">
        <f t="array" aca="1" ref="L6" ca="1">IFERROR(INDEX(DataTable[Окончание],SMALL(IF(DataTable[Категория]=$D6,IF(DataTable[Окончание]&gt;=today,ROW(DataTable[Категория]),"")),L$1)-MATCH(DataTable[[#Headers],[№]],'эпапы, сроки'!$A$1:$A$65546)),"")</f>
        <v/>
      </c>
      <c r="M6" s="104" t="str">
        <f t="array" aca="1" ref="M6" ca="1">IFERROR(INDEX(DataTable[Окончание],SMALL(IF(DataTable[Категория]=$D6,IF(DataTable[Окончание]&gt;=today,ROW(DataTable[Категория]),"")),M$1)-MATCH(DataTable[[#Headers],[№]],'эпапы, сроки'!$A$1:$A$65546)),"")</f>
        <v/>
      </c>
      <c r="N6" s="104" t="str">
        <f t="array" aca="1" ref="N6" ca="1">IFERROR(INDEX(DataTable[Окончание],SMALL(IF(DataTable[Категория]=$D6,IF(DataTable[Окончание]&gt;=today,ROW(DataTable[Категория]),"")),N$1)-MATCH(DataTable[[#Headers],[№]],'эпапы, сроки'!$A$1:$A$65546)),"")</f>
        <v/>
      </c>
      <c r="O6" s="104" t="str">
        <f t="array" aca="1" ref="O6" ca="1">IFERROR(INDEX(DataTable[Окончание],SMALL(IF(DataTable[Категория]=$D6,IF(DataTable[Окончание]&gt;=today,ROW(DataTable[Категория]),"")),O$1)-MATCH(DataTable[[#Headers],[№]],'эпапы, сроки'!$A$1:$A$65546)),"")</f>
        <v/>
      </c>
      <c r="P6" s="104" t="str">
        <f t="array" aca="1" ref="P6" ca="1">IFERROR(INDEX(DataTable[Окончание],SMALL(IF(DataTable[Категория]=$D6,IF(DataTable[Окончание]&gt;=today,ROW(DataTable[Категория]),"")),P$1)-MATCH(DataTable[[#Headers],[№]],'эпапы, сроки'!$A$1:$A$65546)),"")</f>
        <v/>
      </c>
      <c r="R6" s="105" t="s">
        <v>129</v>
      </c>
      <c r="S6" s="106">
        <f>COUNTIF(DataTable[Основание (НПА)],R6)</f>
        <v>1</v>
      </c>
      <c r="T6" s="107">
        <f t="array" ref="T6">SUM(--(DataTable[Основание (НПА)]=R6)*DataTable[%]*DataTable[Рабочих дней])/SUM(--(DataTable[Основание (НПА)]=R6)*DataTable[Рабочих дней])</f>
        <v>1</v>
      </c>
      <c r="U6" s="108" t="str">
        <f t="array" aca="1" ref="U6" ca="1">IFERROR(INDEX(DataTable[Действие],SMALL(IF(DataTable[Основание (НПА)]=$R6,IF(DataTable[Окончание]&gt;=today,ROW(DataTable[Основание (НПА)]),"")),U$1)-MATCH(DataTable[[#Headers],[№]],'эпапы, сроки'!$A$1:$A$65546)),"")</f>
        <v/>
      </c>
      <c r="V6" s="108" t="str">
        <f t="array" aca="1" ref="V6" ca="1">IFERROR(INDEX(DataTable[Действие],SMALL(IF(DataTable[Основание (НПА)]=$R6,IF(DataTable[Окончание]&gt;=today,ROW(DataTable[Основание (НПА)]),"")),V$1)-MATCH(DataTable[[#Headers],[№]],'эпапы, сроки'!$A$1:$A$65546)),"")</f>
        <v/>
      </c>
      <c r="W6" s="108" t="str">
        <f t="array" aca="1" ref="W6" ca="1">IFERROR(INDEX(DataTable[Действие],SMALL(IF(DataTable[Основание (НПА)]=$R6,IF(DataTable[Окончание]&gt;=today,ROW(DataTable[Основание (НПА)]),"")),W$1)-MATCH(DataTable[[#Headers],[№]],'эпапы, сроки'!$A$1:$A$65546)),"")</f>
        <v/>
      </c>
      <c r="X6" s="108" t="str">
        <f t="array" aca="1" ref="X6" ca="1">IFERROR(INDEX(DataTable[Действие],SMALL(IF(DataTable[Основание (НПА)]=$R6,IF(DataTable[Окончание]&gt;=today,ROW(DataTable[Основание (НПА)]),"")),X$1)-MATCH(DataTable[[#Headers],[№]],'эпапы, сроки'!$A$1:$A$65546)),"")</f>
        <v/>
      </c>
      <c r="Y6" s="108" t="str">
        <f t="array" aca="1" ref="Y6" ca="1">IFERROR(INDEX(DataTable[Действие],SMALL(IF(DataTable[Основание (НПА)]=$R6,IF(DataTable[Окончание]&gt;=today,ROW(DataTable[Основание (НПА)]),"")),Y$1)-MATCH(DataTable[[#Headers],[№]],'эпапы, сроки'!$A$1:$A$65546)),"")</f>
        <v/>
      </c>
      <c r="Z6" s="109" t="str">
        <f t="array" aca="1" ref="Z6" ca="1">IFERROR(INDEX(DataTable[Окончание],SMALL(IF(DataTable[Основание (НПА)]=$R6,IF(DataTable[Окончание]&gt;=today,ROW(DataTable[Категория]),"")),Z$1)-MATCH(DataTable[[#Headers],[№]],'эпапы, сроки'!$A$1:$A$65546)),"")</f>
        <v/>
      </c>
      <c r="AA6" s="109" t="str">
        <f t="array" aca="1" ref="AA6" ca="1">IFERROR(INDEX(DataTable[Окончание],SMALL(IF(DataTable[Основание (НПА)]=$R6,IF(DataTable[Окончание]&gt;=today,ROW(DataTable[Категория]),"")),AA$1)-MATCH(DataTable[[#Headers],[№]],'эпапы, сроки'!$A$1:$A$65546)),"")</f>
        <v/>
      </c>
      <c r="AB6" s="109" t="str">
        <f t="array" aca="1" ref="AB6" ca="1">IFERROR(INDEX(DataTable[Окончание],SMALL(IF(DataTable[Основание (НПА)]=$R6,IF(DataTable[Окончание]&gt;=today,ROW(DataTable[Категория]),"")),AB$1)-MATCH(DataTable[[#Headers],[№]],'эпапы, сроки'!$A$1:$A$65546)),"")</f>
        <v/>
      </c>
      <c r="AC6" s="109" t="str">
        <f t="array" aca="1" ref="AC6" ca="1">IFERROR(INDEX(DataTable[Окончание],SMALL(IF(DataTable[Основание (НПА)]=$R6,IF(DataTable[Окончание]&gt;=today,ROW(DataTable[Категория]),"")),AC$1)-MATCH(DataTable[[#Headers],[№]],'эпапы, сроки'!$A$1:$A$65546)),"")</f>
        <v/>
      </c>
      <c r="AD6" s="109" t="str">
        <f t="array" aca="1" ref="AD6" ca="1">IFERROR(INDEX(DataTable[Окончание],SMALL(IF(DataTable[Основание (НПА)]=$R6,IF(DataTable[Окончание]&gt;=today,ROW(DataTable[Категория]),"")),AD$1)-MATCH(DataTable[[#Headers],[№]],'эпапы, сроки'!$A$1:$A$65546)),"")</f>
        <v/>
      </c>
      <c r="AF6" s="110">
        <v>43132</v>
      </c>
      <c r="AG6" s="100" t="s">
        <v>95</v>
      </c>
      <c r="AH6" s="97"/>
    </row>
    <row r="7" spans="1:34" x14ac:dyDescent="0.2">
      <c r="A7" s="98">
        <v>43187</v>
      </c>
      <c r="B7" s="99">
        <v>1</v>
      </c>
      <c r="D7" s="100" t="s">
        <v>21</v>
      </c>
      <c r="E7" s="101">
        <v>39</v>
      </c>
      <c r="F7" s="102">
        <f t="array" ref="F7">SUM(--(DataTable[Категория]=D7)*DataTable[%]*DataTable[Рабочих дней])/SUM(--(DataTable[Категория]=D7)*DataTable[Рабочих дней])</f>
        <v>5.9114583333333331E-2</v>
      </c>
      <c r="G7" s="103" t="str">
        <f t="array" aca="1" ref="G7" ca="1">IFERROR(INDEX(DataTable[Действие],SMALL(IF(DataTable[Категория]=$D7,IF(DataTable[Окончание]&gt;=today,ROW(DataTable[Категория]),"")),G$1)-MATCH(DataTable[[#Headers],[№]],'эпапы, сроки'!$A$1:$A$65546)),"")</f>
        <v>Обоснования и расчеты бюджетных ассигнований на 2019 – 2021 годы</v>
      </c>
      <c r="H7" s="103" t="str">
        <f t="array" aca="1" ref="H7" ca="1">IFERROR(INDEX(DataTable[Действие],SMALL(IF(DataTable[Категория]=$D7,IF(DataTable[Окончание]&gt;=today,ROW(DataTable[Категория]),"")),H$1)-MATCH(DataTable[[#Headers],[№]],'эпапы, сроки'!$A$1:$A$65546)),"")</f>
        <v>Фактический фонд оплаты труда работающих за 2017 год, оценка фонда оплаты труда работающих в 2018 году и его прогноз на 2019-2021 годы в разрезе муниципальных образований (городских округов, муниципальных районов, поселений)</v>
      </c>
      <c r="I7" s="103" t="str">
        <f t="array" aca="1" ref="I7" ca="1">IFERROR(INDEX(DataTable[Действие],SMALL(IF(DataTable[Категория]=$D7,IF(DataTable[Окончание]&gt;=today,ROW(DataTable[Категория]),"")),I$1)-MATCH(DataTable[[#Headers],[№]],'эпапы, сроки'!$A$1:$A$65546)),"")</f>
        <v>Данные о фактической прибыли прибыльных предприятий за 2017 год, оценка прибыли прибыльных предприятий на 2018 год и ее прогноз на 2019 – 2021 годы в разрезе муниципальных образований (городских округов, муниципальных районов)</v>
      </c>
      <c r="J7" s="103" t="str">
        <f t="array" aca="1" ref="J7" ca="1">IFERROR(INDEX(DataTable[Действие],SMALL(IF(DataTable[Категория]=$D7,IF(DataTable[Окончание]&gt;=today,ROW(DataTable[Категория]),"")),J$1)-MATCH(DataTable[[#Headers],[№]],'эпапы, сроки'!$A$1:$A$65546)),"")</f>
        <v>Сведения о стоимости основных фондов на 1 января 2018 года и на 1 апреля 2018 года в разрезе муниципальных образований (городских округов, муниципальных районов)</v>
      </c>
      <c r="K7" s="103" t="str">
        <f t="array" aca="1" ref="K7" ca="1">IFERROR(INDEX(DataTable[Действие],SMALL(IF(DataTable[Категория]=$D7,IF(DataTable[Окончание]&gt;=today,ROW(DataTable[Категория]),"")),K$1)-MATCH(DataTable[[#Headers],[№]],'эпапы, сроки'!$A$1:$A$65546)),"")</f>
        <v>Данные о наличии жилищного фонда в муниципальной собственности и обслуживаемого жилищного фонда по состоянию на 1 января 2018 года в разрезе муниципальных образований (городских округов, муниципальных районов, городских и сельских поселений)</v>
      </c>
      <c r="L7" s="104">
        <f t="array" aca="1" ref="L7" ca="1">IFERROR(INDEX(DataTable[Окончание],SMALL(IF(DataTable[Категория]=$D7,IF(DataTable[Окончание]&gt;=today,ROW(DataTable[Категория]),"")),L$1)-MATCH(DataTable[[#Headers],[№]],'эпапы, сроки'!$A$1:$A$65546)),"")</f>
        <v>43287</v>
      </c>
      <c r="M7" s="104">
        <f t="array" aca="1" ref="M7" ca="1">IFERROR(INDEX(DataTable[Окончание],SMALL(IF(DataTable[Категория]=$D7,IF(DataTable[Окончание]&gt;=today,ROW(DataTable[Категория]),"")),M$1)-MATCH(DataTable[[#Headers],[№]],'эпапы, сроки'!$A$1:$A$65546)),"")</f>
        <v>43293</v>
      </c>
      <c r="N7" s="104">
        <f t="array" aca="1" ref="N7" ca="1">IFERROR(INDEX(DataTable[Окончание],SMALL(IF(DataTable[Категория]=$D7,IF(DataTable[Окончание]&gt;=today,ROW(DataTable[Категория]),"")),N$1)-MATCH(DataTable[[#Headers],[№]],'эпапы, сроки'!$A$1:$A$65546)),"")</f>
        <v>43293</v>
      </c>
      <c r="O7" s="104">
        <f t="array" aca="1" ref="O7" ca="1">IFERROR(INDEX(DataTable[Окончание],SMALL(IF(DataTable[Категория]=$D7,IF(DataTable[Окончание]&gt;=today,ROW(DataTable[Категория]),"")),O$1)-MATCH(DataTable[[#Headers],[№]],'эпапы, сроки'!$A$1:$A$65546)),"")</f>
        <v>43293</v>
      </c>
      <c r="P7" s="104">
        <f t="array" aca="1" ref="P7" ca="1">IFERROR(INDEX(DataTable[Окончание],SMALL(IF(DataTable[Категория]=$D7,IF(DataTable[Окончание]&gt;=today,ROW(DataTable[Категория]),"")),P$1)-MATCH(DataTable[[#Headers],[№]],'эпапы, сроки'!$A$1:$A$65546)),"")</f>
        <v>43293</v>
      </c>
      <c r="R7" s="105" t="s">
        <v>130</v>
      </c>
      <c r="S7" s="106">
        <f>COUNTIF(DataTable[Основание (НПА)],R7)</f>
        <v>1</v>
      </c>
      <c r="T7" s="107">
        <f t="array" ref="T7">SUM(--(DataTable[Основание (НПА)]=R7)*DataTable[%]*DataTable[Рабочих дней])/SUM(--(DataTable[Основание (НПА)]=R7)*DataTable[Рабочих дней])</f>
        <v>1</v>
      </c>
      <c r="U7" s="108" t="str">
        <f t="array" aca="1" ref="U7" ca="1">IFERROR(INDEX(DataTable[Действие],SMALL(IF(DataTable[Основание (НПА)]=$R7,IF(DataTable[Окончание]&gt;=today,ROW(DataTable[Основание (НПА)]),"")),U$1)-MATCH(DataTable[[#Headers],[№]],'эпапы, сроки'!$A$1:$A$65546)),"")</f>
        <v/>
      </c>
      <c r="V7" s="108" t="str">
        <f t="array" aca="1" ref="V7" ca="1">IFERROR(INDEX(DataTable[Действие],SMALL(IF(DataTable[Основание (НПА)]=$R7,IF(DataTable[Окончание]&gt;=today,ROW(DataTable[Основание (НПА)]),"")),V$1)-MATCH(DataTable[[#Headers],[№]],'эпапы, сроки'!$A$1:$A$65546)),"")</f>
        <v/>
      </c>
      <c r="W7" s="108" t="str">
        <f t="array" aca="1" ref="W7" ca="1">IFERROR(INDEX(DataTable[Действие],SMALL(IF(DataTable[Основание (НПА)]=$R7,IF(DataTable[Окончание]&gt;=today,ROW(DataTable[Основание (НПА)]),"")),W$1)-MATCH(DataTable[[#Headers],[№]],'эпапы, сроки'!$A$1:$A$65546)),"")</f>
        <v/>
      </c>
      <c r="X7" s="108" t="str">
        <f t="array" aca="1" ref="X7" ca="1">IFERROR(INDEX(DataTable[Действие],SMALL(IF(DataTable[Основание (НПА)]=$R7,IF(DataTable[Окончание]&gt;=today,ROW(DataTable[Основание (НПА)]),"")),X$1)-MATCH(DataTable[[#Headers],[№]],'эпапы, сроки'!$A$1:$A$65546)),"")</f>
        <v/>
      </c>
      <c r="Y7" s="108" t="str">
        <f t="array" aca="1" ref="Y7" ca="1">IFERROR(INDEX(DataTable[Действие],SMALL(IF(DataTable[Основание (НПА)]=$R7,IF(DataTable[Окончание]&gt;=today,ROW(DataTable[Основание (НПА)]),"")),Y$1)-MATCH(DataTable[[#Headers],[№]],'эпапы, сроки'!$A$1:$A$65546)),"")</f>
        <v/>
      </c>
      <c r="Z7" s="109" t="str">
        <f t="array" aca="1" ref="Z7" ca="1">IFERROR(INDEX(DataTable[Окончание],SMALL(IF(DataTable[Основание (НПА)]=$R7,IF(DataTable[Окончание]&gt;=today,ROW(DataTable[Категория]),"")),Z$1)-MATCH(DataTable[[#Headers],[№]],'эпапы, сроки'!$A$1:$A$65546)),"")</f>
        <v/>
      </c>
      <c r="AA7" s="109" t="str">
        <f t="array" aca="1" ref="AA7" ca="1">IFERROR(INDEX(DataTable[Окончание],SMALL(IF(DataTable[Основание (НПА)]=$R7,IF(DataTable[Окончание]&gt;=today,ROW(DataTable[Категория]),"")),AA$1)-MATCH(DataTable[[#Headers],[№]],'эпапы, сроки'!$A$1:$A$65546)),"")</f>
        <v/>
      </c>
      <c r="AB7" s="109" t="str">
        <f t="array" aca="1" ref="AB7" ca="1">IFERROR(INDEX(DataTable[Окончание],SMALL(IF(DataTable[Основание (НПА)]=$R7,IF(DataTable[Окончание]&gt;=today,ROW(DataTable[Категория]),"")),AB$1)-MATCH(DataTable[[#Headers],[№]],'эпапы, сроки'!$A$1:$A$65546)),"")</f>
        <v/>
      </c>
      <c r="AC7" s="109" t="str">
        <f t="array" aca="1" ref="AC7" ca="1">IFERROR(INDEX(DataTable[Окончание],SMALL(IF(DataTable[Основание (НПА)]=$R7,IF(DataTable[Окончание]&gt;=today,ROW(DataTable[Категория]),"")),AC$1)-MATCH(DataTable[[#Headers],[№]],'эпапы, сроки'!$A$1:$A$65546)),"")</f>
        <v/>
      </c>
      <c r="AD7" s="109" t="str">
        <f t="array" aca="1" ref="AD7" ca="1">IFERROR(INDEX(DataTable[Окончание],SMALL(IF(DataTable[Основание (НПА)]=$R7,IF(DataTable[Окончание]&gt;=today,ROW(DataTable[Категория]),"")),AD$1)-MATCH(DataTable[[#Headers],[№]],'эпапы, сроки'!$A$1:$A$65546)),"")</f>
        <v/>
      </c>
      <c r="AF7" s="110">
        <v>43132</v>
      </c>
      <c r="AG7" s="100" t="s">
        <v>103</v>
      </c>
      <c r="AH7" s="97"/>
    </row>
    <row r="8" spans="1:34" x14ac:dyDescent="0.2">
      <c r="A8" s="98">
        <v>43188</v>
      </c>
      <c r="B8" s="99">
        <v>1</v>
      </c>
      <c r="D8" s="97"/>
      <c r="E8" s="111"/>
      <c r="F8" s="111"/>
      <c r="G8" s="103" t="str">
        <f t="array" aca="1" ref="G8" ca="1">IFERROR(INDEX(DataTable[Действие],SMALL(IF(DataTable[Категория]=$D8,IF(DataTable[Окончание]&gt;=today,ROW(DataTable[Категория]),"")),G$1)-MATCH(DataTable[[#Headers],[№]],'эпапы, сроки'!$A$1:$A$65546)),"")</f>
        <v/>
      </c>
      <c r="H8" s="103" t="str">
        <f t="array" aca="1" ref="H8" ca="1">IFERROR(INDEX(DataTable[Действие],SMALL(IF(DataTable[Категория]=$D8,IF(DataTable[Окончание]&gt;=today,ROW(DataTable[Категория]),"")),H$1)-MATCH(DataTable[[#Headers],[№]],'эпапы, сроки'!$A$1:$A$65546)),"")</f>
        <v/>
      </c>
      <c r="I8" s="103" t="str">
        <f t="array" aca="1" ref="I8" ca="1">IFERROR(INDEX(DataTable[Действие],SMALL(IF(DataTable[Категория]=$D8,IF(DataTable[Окончание]&gt;=today,ROW(DataTable[Категория]),"")),I$1)-MATCH(DataTable[[#Headers],[№]],'эпапы, сроки'!$A$1:$A$65546)),"")</f>
        <v/>
      </c>
      <c r="J8" s="103" t="str">
        <f t="array" aca="1" ref="J8" ca="1">IFERROR(INDEX(DataTable[Действие],SMALL(IF(DataTable[Категория]=$D8,IF(DataTable[Окончание]&gt;=today,ROW(DataTable[Категория]),"")),J$1)-MATCH(DataTable[[#Headers],[№]],'эпапы, сроки'!$A$1:$A$65546)),"")</f>
        <v/>
      </c>
      <c r="K8" s="103" t="str">
        <f t="array" aca="1" ref="K8" ca="1">IFERROR(INDEX(DataTable[Действие],SMALL(IF(DataTable[Категория]=$D8,IF(DataTable[Окончание]&gt;=today,ROW(DataTable[Категория]),"")),K$1)-MATCH(DataTable[[#Headers],[№]],'эпапы, сроки'!$A$1:$A$65546)),"")</f>
        <v/>
      </c>
      <c r="L8" s="104" t="str">
        <f t="array" aca="1" ref="L8" ca="1">IFERROR(INDEX(DataTable[Окончание],SMALL(IF(DataTable[Категория]=$D8,IF(DataTable[Окончание]&gt;=today,ROW(DataTable[Категория]),"")),L$1)-MATCH(DataTable[[#Headers],[№]],'эпапы, сроки'!$A$1:$A$65546)),"")</f>
        <v/>
      </c>
      <c r="M8" s="104" t="str">
        <f t="array" aca="1" ref="M8" ca="1">IFERROR(INDEX(DataTable[Окончание],SMALL(IF(DataTable[Категория]=$D8,IF(DataTable[Окончание]&gt;=today,ROW(DataTable[Категория]),"")),M$1)-MATCH(DataTable[[#Headers],[№]],'эпапы, сроки'!$A$1:$A$65546)),"")</f>
        <v/>
      </c>
      <c r="N8" s="104" t="str">
        <f t="array" aca="1" ref="N8" ca="1">IFERROR(INDEX(DataTable[Окончание],SMALL(IF(DataTable[Категория]=$D8,IF(DataTable[Окончание]&gt;=today,ROW(DataTable[Категория]),"")),N$1)-MATCH(DataTable[[#Headers],[№]],'эпапы, сроки'!$A$1:$A$65546)),"")</f>
        <v/>
      </c>
      <c r="O8" s="104" t="str">
        <f t="array" aca="1" ref="O8" ca="1">IFERROR(INDEX(DataTable[Окончание],SMALL(IF(DataTable[Категория]=$D8,IF(DataTable[Окончание]&gt;=today,ROW(DataTable[Категория]),"")),O$1)-MATCH(DataTable[[#Headers],[№]],'эпапы, сроки'!$A$1:$A$65546)),"")</f>
        <v/>
      </c>
      <c r="P8" s="104" t="str">
        <f t="array" aca="1" ref="P8" ca="1">IFERROR(INDEX(DataTable[Окончание],SMALL(IF(DataTable[Категория]=$D8,IF(DataTable[Окончание]&gt;=today,ROW(DataTable[Категория]),"")),P$1)-MATCH(DataTable[[#Headers],[№]],'эпапы, сроки'!$A$1:$A$65546)),"")</f>
        <v/>
      </c>
      <c r="R8" s="105" t="s">
        <v>278</v>
      </c>
      <c r="S8" s="106">
        <f>COUNTIF(DataTable[Основание (НПА)],R8)</f>
        <v>4</v>
      </c>
      <c r="T8" s="107">
        <f t="array" ref="T8">SUM(--(DataTable[Основание (НПА)]=R8)*DataTable[%]*DataTable[Рабочих дней])/SUM(--(DataTable[Основание (НПА)]=R8)*DataTable[Рабочих дней])</f>
        <v>0.27586206896551724</v>
      </c>
      <c r="U8" s="108" t="str">
        <f t="array" aca="1" ref="U8" ca="1">IFERROR(INDEX(DataTable[Действие],SMALL(IF(DataTable[Основание (НПА)]=$R8,IF(DataTable[Окончание]&gt;=today,ROW(DataTable[Основание (НПА)]),"")),U$1)-MATCH(DataTable[[#Headers],[№]],'эпапы, сроки'!$A$1:$A$65546)),"")</f>
        <v>Отчет о выполнении условий соглашения о предоставлении дотации на выравнивание бюджетной обеспеченности (ежеквартально)</v>
      </c>
      <c r="V8" s="108" t="str">
        <f t="array" aca="1" ref="V8" ca="1">IFERROR(INDEX(DataTable[Действие],SMALL(IF(DataTable[Основание (НПА)]=$R8,IF(DataTable[Окончание]&gt;=today,ROW(DataTable[Основание (НПА)]),"")),V$1)-MATCH(DataTable[[#Headers],[№]],'эпапы, сроки'!$A$1:$A$65546)),"")</f>
        <v>Отчет о выполнении условий соглашения о предоставлении дотации на выравнивание бюджетной обеспеченности (ежеквартально)</v>
      </c>
      <c r="W8" s="108" t="str">
        <f t="array" aca="1" ref="W8" ca="1">IFERROR(INDEX(DataTable[Действие],SMALL(IF(DataTable[Основание (НПА)]=$R8,IF(DataTable[Окончание]&gt;=today,ROW(DataTable[Основание (НПА)]),"")),W$1)-MATCH(DataTable[[#Headers],[№]],'эпапы, сроки'!$A$1:$A$65546)),"")</f>
        <v>Отчет о выполнении условий соглашения о предоставлении дотации на выравнивание бюджетной обеспеченности (ежеквартально)</v>
      </c>
      <c r="X8" s="108" t="str">
        <f t="array" aca="1" ref="X8" ca="1">IFERROR(INDEX(DataTable[Действие],SMALL(IF(DataTable[Основание (НПА)]=$R8,IF(DataTable[Окончание]&gt;=today,ROW(DataTable[Основание (НПА)]),"")),X$1)-MATCH(DataTable[[#Headers],[№]],'эпапы, сроки'!$A$1:$A$65546)),"")</f>
        <v/>
      </c>
      <c r="Y8" s="108" t="str">
        <f t="array" aca="1" ref="Y8" ca="1">IFERROR(INDEX(DataTable[Действие],SMALL(IF(DataTable[Основание (НПА)]=$R8,IF(DataTable[Окончание]&gt;=today,ROW(DataTable[Основание (НПА)]),"")),Y$1)-MATCH(DataTable[[#Headers],[№]],'эпапы, сроки'!$A$1:$A$65546)),"")</f>
        <v/>
      </c>
      <c r="Z8" s="109">
        <f t="array" aca="1" ref="Z8" ca="1">IFERROR(INDEX(DataTable[Окончание],SMALL(IF(DataTable[Основание (НПА)]=$R8,IF(DataTable[Окончание]&gt;=today,ROW(DataTable[Категория]),"")),Z$1)-MATCH(DataTable[[#Headers],[№]],'эпапы, сроки'!$A$1:$A$65546)),"")</f>
        <v>43301</v>
      </c>
      <c r="AA8" s="109">
        <f t="array" aca="1" ref="AA8" ca="1">IFERROR(INDEX(DataTable[Окончание],SMALL(IF(DataTable[Основание (НПА)]=$R8,IF(DataTable[Окончание]&gt;=today,ROW(DataTable[Категория]),"")),AA$1)-MATCH(DataTable[[#Headers],[№]],'эпапы, сроки'!$A$1:$A$65546)),"")</f>
        <v>43393</v>
      </c>
      <c r="AB8" s="109">
        <f t="array" aca="1" ref="AB8" ca="1">IFERROR(INDEX(DataTable[Окончание],SMALL(IF(DataTable[Основание (НПА)]=$R8,IF(DataTable[Окончание]&gt;=today,ROW(DataTable[Категория]),"")),AB$1)-MATCH(DataTable[[#Headers],[№]],'эпапы, сроки'!$A$1:$A$65546)),"")</f>
        <v>43485</v>
      </c>
      <c r="AC8" s="109" t="str">
        <f t="array" aca="1" ref="AC8" ca="1">IFERROR(INDEX(DataTable[Окончание],SMALL(IF(DataTable[Основание (НПА)]=$R8,IF(DataTable[Окончание]&gt;=today,ROW(DataTable[Категория]),"")),AC$1)-MATCH(DataTable[[#Headers],[№]],'эпапы, сроки'!$A$1:$A$65546)),"")</f>
        <v/>
      </c>
      <c r="AD8" s="109" t="str">
        <f t="array" aca="1" ref="AD8" ca="1">IFERROR(INDEX(DataTable[Окончание],SMALL(IF(DataTable[Основание (НПА)]=$R8,IF(DataTable[Окончание]&gt;=today,ROW(DataTable[Категория]),"")),AD$1)-MATCH(DataTable[[#Headers],[№]],'эпапы, сроки'!$A$1:$A$65546)),"")</f>
        <v/>
      </c>
      <c r="AF8" s="110">
        <v>43132</v>
      </c>
      <c r="AG8" s="100" t="s">
        <v>102</v>
      </c>
      <c r="AH8" s="97"/>
    </row>
    <row r="9" spans="1:34" x14ac:dyDescent="0.2">
      <c r="A9" s="98">
        <v>43192</v>
      </c>
      <c r="B9" s="99">
        <v>1</v>
      </c>
      <c r="D9" s="97"/>
      <c r="E9" s="111"/>
      <c r="F9" s="111"/>
      <c r="G9" s="103" t="str">
        <f t="array" aca="1" ref="G9" ca="1">IFERROR(INDEX(DataTable[Действие],SMALL(IF(DataTable[Категория]=$D9,IF(DataTable[Окончание]&gt;=today,ROW(DataTable[Категория]),"")),G$1)-MATCH(DataTable[[#Headers],[№]],'эпапы, сроки'!$A$1:$A$65546)),"")</f>
        <v/>
      </c>
      <c r="H9" s="103" t="str">
        <f t="array" aca="1" ref="H9" ca="1">IFERROR(INDEX(DataTable[Действие],SMALL(IF(DataTable[Категория]=$D9,IF(DataTable[Окончание]&gt;=today,ROW(DataTable[Категория]),"")),H$1)-MATCH(DataTable[[#Headers],[№]],'эпапы, сроки'!$A$1:$A$65546)),"")</f>
        <v/>
      </c>
      <c r="I9" s="103" t="str">
        <f t="array" aca="1" ref="I9" ca="1">IFERROR(INDEX(DataTable[Действие],SMALL(IF(DataTable[Категория]=$D9,IF(DataTable[Окончание]&gt;=today,ROW(DataTable[Категория]),"")),I$1)-MATCH(DataTable[[#Headers],[№]],'эпапы, сроки'!$A$1:$A$65546)),"")</f>
        <v/>
      </c>
      <c r="J9" s="103" t="str">
        <f t="array" aca="1" ref="J9" ca="1">IFERROR(INDEX(DataTable[Действие],SMALL(IF(DataTable[Категория]=$D9,IF(DataTable[Окончание]&gt;=today,ROW(DataTable[Категория]),"")),J$1)-MATCH(DataTable[[#Headers],[№]],'эпапы, сроки'!$A$1:$A$65546)),"")</f>
        <v/>
      </c>
      <c r="K9" s="103" t="str">
        <f t="array" aca="1" ref="K9" ca="1">IFERROR(INDEX(DataTable[Действие],SMALL(IF(DataTable[Категория]=$D9,IF(DataTable[Окончание]&gt;=today,ROW(DataTable[Категория]),"")),K$1)-MATCH(DataTable[[#Headers],[№]],'эпапы, сроки'!$A$1:$A$65546)),"")</f>
        <v/>
      </c>
      <c r="L9" s="104" t="str">
        <f t="array" aca="1" ref="L9" ca="1">IFERROR(INDEX(DataTable[Окончание],SMALL(IF(DataTable[Категория]=$D9,IF(DataTable[Окончание]&gt;=today,ROW(DataTable[Категория]),"")),L$1)-MATCH(DataTable[[#Headers],[№]],'эпапы, сроки'!$A$1:$A$65546)),"")</f>
        <v/>
      </c>
      <c r="M9" s="104" t="str">
        <f t="array" aca="1" ref="M9" ca="1">IFERROR(INDEX(DataTable[Окончание],SMALL(IF(DataTable[Категория]=$D9,IF(DataTable[Окончание]&gt;=today,ROW(DataTable[Категория]),"")),M$1)-MATCH(DataTable[[#Headers],[№]],'эпапы, сроки'!$A$1:$A$65546)),"")</f>
        <v/>
      </c>
      <c r="N9" s="104" t="str">
        <f t="array" aca="1" ref="N9" ca="1">IFERROR(INDEX(DataTable[Окончание],SMALL(IF(DataTable[Категория]=$D9,IF(DataTable[Окончание]&gt;=today,ROW(DataTable[Категория]),"")),N$1)-MATCH(DataTable[[#Headers],[№]],'эпапы, сроки'!$A$1:$A$65546)),"")</f>
        <v/>
      </c>
      <c r="O9" s="104" t="str">
        <f t="array" aca="1" ref="O9" ca="1">IFERROR(INDEX(DataTable[Окончание],SMALL(IF(DataTable[Категория]=$D9,IF(DataTable[Окончание]&gt;=today,ROW(DataTable[Категория]),"")),O$1)-MATCH(DataTable[[#Headers],[№]],'эпапы, сроки'!$A$1:$A$65546)),"")</f>
        <v/>
      </c>
      <c r="P9" s="104" t="str">
        <f t="array" aca="1" ref="P9" ca="1">IFERROR(INDEX(DataTable[Окончание],SMALL(IF(DataTable[Категория]=$D9,IF(DataTable[Окончание]&gt;=today,ROW(DataTable[Категория]),"")),P$1)-MATCH(DataTable[[#Headers],[№]],'эпапы, сроки'!$A$1:$A$65546)),"")</f>
        <v/>
      </c>
      <c r="R9" s="105" t="s">
        <v>131</v>
      </c>
      <c r="S9" s="106">
        <f>COUNTIF(DataTable[Основание (НПА)],R9)</f>
        <v>4</v>
      </c>
      <c r="T9" s="107">
        <f t="array" ref="T9">SUM(--(DataTable[Основание (НПА)]=R9)*DataTable[%]*DataTable[Рабочих дней])/SUM(--(DataTable[Основание (НПА)]=R9)*DataTable[Рабочих дней])</f>
        <v>0.23333333333333334</v>
      </c>
      <c r="U9" s="108" t="str">
        <f t="array" aca="1" ref="U9" ca="1">IFERROR(INDEX(DataTable[Действие],SMALL(IF(DataTable[Основание (НПА)]=$R9,IF(DataTable[Окончание]&gt;=today,ROW(DataTable[Основание (НПА)]),"")),U$1)-MATCH(DataTable[[#Headers],[№]],'эпапы, сроки'!$A$1:$A$65546)),"")</f>
        <v>Мониторинг качества управления муниципальными финансами (II квартал)</v>
      </c>
      <c r="V9" s="108" t="str">
        <f t="array" aca="1" ref="V9" ca="1">IFERROR(INDEX(DataTable[Действие],SMALL(IF(DataTable[Основание (НПА)]=$R9,IF(DataTable[Окончание]&gt;=today,ROW(DataTable[Основание (НПА)]),"")),V$1)-MATCH(DataTable[[#Headers],[№]],'эпапы, сроки'!$A$1:$A$65546)),"")</f>
        <v>Мониторинг качества управления муниципальными финансами (III квартал)</v>
      </c>
      <c r="W9" s="108" t="str">
        <f t="array" aca="1" ref="W9" ca="1">IFERROR(INDEX(DataTable[Действие],SMALL(IF(DataTable[Основание (НПА)]=$R9,IF(DataTable[Окончание]&gt;=today,ROW(DataTable[Основание (НПА)]),"")),W$1)-MATCH(DataTable[[#Headers],[№]],'эпапы, сроки'!$A$1:$A$65546)),"")</f>
        <v>Мониторинг качества управления муниципальными финансами (IV квартал, за год)</v>
      </c>
      <c r="X9" s="108" t="str">
        <f t="array" aca="1" ref="X9" ca="1">IFERROR(INDEX(DataTable[Действие],SMALL(IF(DataTable[Основание (НПА)]=$R9,IF(DataTable[Окончание]&gt;=today,ROW(DataTable[Основание (НПА)]),"")),X$1)-MATCH(DataTable[[#Headers],[№]],'эпапы, сроки'!$A$1:$A$65546)),"")</f>
        <v/>
      </c>
      <c r="Y9" s="108" t="str">
        <f t="array" aca="1" ref="Y9" ca="1">IFERROR(INDEX(DataTable[Действие],SMALL(IF(DataTable[Основание (НПА)]=$R9,IF(DataTable[Окончание]&gt;=today,ROW(DataTable[Основание (НПА)]),"")),Y$1)-MATCH(DataTable[[#Headers],[№]],'эпапы, сроки'!$A$1:$A$65546)),"")</f>
        <v/>
      </c>
      <c r="Z9" s="109">
        <f t="array" aca="1" ref="Z9" ca="1">IFERROR(INDEX(DataTable[Окончание],SMALL(IF(DataTable[Основание (НПА)]=$R9,IF(DataTable[Окончание]&gt;=today,ROW(DataTable[Категория]),"")),Z$1)-MATCH(DataTable[[#Headers],[№]],'эпапы, сроки'!$A$1:$A$65546)),"")</f>
        <v>43311</v>
      </c>
      <c r="AA9" s="109">
        <f t="array" aca="1" ref="AA9" ca="1">IFERROR(INDEX(DataTable[Окончание],SMALL(IF(DataTable[Основание (НПА)]=$R9,IF(DataTable[Окончание]&gt;=today,ROW(DataTable[Категория]),"")),AA$1)-MATCH(DataTable[[#Headers],[№]],'эпапы, сроки'!$A$1:$A$65546)),"")</f>
        <v>43403</v>
      </c>
      <c r="AB9" s="109">
        <f t="array" aca="1" ref="AB9" ca="1">IFERROR(INDEX(DataTable[Окончание],SMALL(IF(DataTable[Основание (НПА)]=$R9,IF(DataTable[Окончание]&gt;=today,ROW(DataTable[Категория]),"")),AB$1)-MATCH(DataTable[[#Headers],[№]],'эпапы, сроки'!$A$1:$A$65546)),"")</f>
        <v>43495</v>
      </c>
      <c r="AC9" s="109" t="str">
        <f t="array" aca="1" ref="AC9" ca="1">IFERROR(INDEX(DataTable[Окончание],SMALL(IF(DataTable[Основание (НПА)]=$R9,IF(DataTable[Окончание]&gt;=today,ROW(DataTable[Категория]),"")),AC$1)-MATCH(DataTable[[#Headers],[№]],'эпапы, сроки'!$A$1:$A$65546)),"")</f>
        <v/>
      </c>
      <c r="AD9" s="109" t="str">
        <f t="array" aca="1" ref="AD9" ca="1">IFERROR(INDEX(DataTable[Окончание],SMALL(IF(DataTable[Основание (НПА)]=$R9,IF(DataTable[Окончание]&gt;=today,ROW(DataTable[Категория]),"")),AD$1)-MATCH(DataTable[[#Headers],[№]],'эпапы, сроки'!$A$1:$A$65546)),"")</f>
        <v/>
      </c>
      <c r="AF9" s="110">
        <v>43152</v>
      </c>
      <c r="AG9" s="100" t="s">
        <v>113</v>
      </c>
      <c r="AH9" s="97"/>
    </row>
    <row r="10" spans="1:34" x14ac:dyDescent="0.2">
      <c r="A10" s="98">
        <v>43205</v>
      </c>
      <c r="B10" s="99">
        <v>1</v>
      </c>
      <c r="D10" s="97"/>
      <c r="E10" s="111"/>
      <c r="F10" s="111"/>
      <c r="G10" s="103" t="str">
        <f t="array" aca="1" ref="G10" ca="1">IFERROR(INDEX(DataTable[Действие],SMALL(IF(DataTable[Категория]=$D10,IF(DataTable[Окончание]&gt;=today,ROW(DataTable[Категория]),"")),G$1)-MATCH(DataTable[[#Headers],[№]],'эпапы, сроки'!$A$1:$A$65546)),"")</f>
        <v/>
      </c>
      <c r="H10" s="103" t="str">
        <f t="array" aca="1" ref="H10" ca="1">IFERROR(INDEX(DataTable[Действие],SMALL(IF(DataTable[Категория]=$D10,IF(DataTable[Окончание]&gt;=today,ROW(DataTable[Категория]),"")),H$1)-MATCH(DataTable[[#Headers],[№]],'эпапы, сроки'!$A$1:$A$65546)),"")</f>
        <v/>
      </c>
      <c r="I10" s="103" t="str">
        <f t="array" aca="1" ref="I10" ca="1">IFERROR(INDEX(DataTable[Действие],SMALL(IF(DataTable[Категория]=$D10,IF(DataTable[Окончание]&gt;=today,ROW(DataTable[Категория]),"")),I$1)-MATCH(DataTable[[#Headers],[№]],'эпапы, сроки'!$A$1:$A$65546)),"")</f>
        <v/>
      </c>
      <c r="J10" s="103" t="str">
        <f t="array" aca="1" ref="J10" ca="1">IFERROR(INDEX(DataTable[Действие],SMALL(IF(DataTable[Категория]=$D10,IF(DataTable[Окончание]&gt;=today,ROW(DataTable[Категория]),"")),J$1)-MATCH(DataTable[[#Headers],[№]],'эпапы, сроки'!$A$1:$A$65546)),"")</f>
        <v/>
      </c>
      <c r="K10" s="103" t="str">
        <f t="array" aca="1" ref="K10" ca="1">IFERROR(INDEX(DataTable[Действие],SMALL(IF(DataTable[Категория]=$D10,IF(DataTable[Окончание]&gt;=today,ROW(DataTable[Категория]),"")),K$1)-MATCH(DataTable[[#Headers],[№]],'эпапы, сроки'!$A$1:$A$65546)),"")</f>
        <v/>
      </c>
      <c r="L10" s="104" t="str">
        <f t="array" aca="1" ref="L10" ca="1">IFERROR(INDEX(DataTable[Окончание],SMALL(IF(DataTable[Категория]=$D10,IF(DataTable[Окончание]&gt;=today,ROW(DataTable[Категория]),"")),L$1)-MATCH(DataTable[[#Headers],[№]],'эпапы, сроки'!$A$1:$A$65546)),"")</f>
        <v/>
      </c>
      <c r="M10" s="104" t="str">
        <f t="array" aca="1" ref="M10" ca="1">IFERROR(INDEX(DataTable[Окончание],SMALL(IF(DataTable[Категория]=$D10,IF(DataTable[Окончание]&gt;=today,ROW(DataTable[Категория]),"")),M$1)-MATCH(DataTable[[#Headers],[№]],'эпапы, сроки'!$A$1:$A$65546)),"")</f>
        <v/>
      </c>
      <c r="N10" s="104" t="str">
        <f t="array" aca="1" ref="N10" ca="1">IFERROR(INDEX(DataTable[Окончание],SMALL(IF(DataTable[Категория]=$D10,IF(DataTable[Окончание]&gt;=today,ROW(DataTable[Категория]),"")),N$1)-MATCH(DataTable[[#Headers],[№]],'эпапы, сроки'!$A$1:$A$65546)),"")</f>
        <v/>
      </c>
      <c r="O10" s="104" t="str">
        <f t="array" aca="1" ref="O10" ca="1">IFERROR(INDEX(DataTable[Окончание],SMALL(IF(DataTable[Категория]=$D10,IF(DataTable[Окончание]&gt;=today,ROW(DataTable[Категория]),"")),O$1)-MATCH(DataTable[[#Headers],[№]],'эпапы, сроки'!$A$1:$A$65546)),"")</f>
        <v/>
      </c>
      <c r="P10" s="104" t="str">
        <f t="array" aca="1" ref="P10" ca="1">IFERROR(INDEX(DataTable[Окончание],SMALL(IF(DataTable[Категория]=$D10,IF(DataTable[Окончание]&gt;=today,ROW(DataTable[Категория]),"")),P$1)-MATCH(DataTable[[#Headers],[№]],'эпапы, сроки'!$A$1:$A$65546)),"")</f>
        <v/>
      </c>
      <c r="R10" s="105" t="s">
        <v>133</v>
      </c>
      <c r="S10" s="106">
        <f>COUNTIF(DataTable[Основание (НПА)],R10)</f>
        <v>1</v>
      </c>
      <c r="T10" s="107">
        <f t="array" ref="T10">SUM(--(DataTable[Основание (НПА)]=R10)*DataTable[%]*DataTable[Рабочих дней])/SUM(--(DataTable[Основание (НПА)]=R10)*DataTable[Рабочих дней])</f>
        <v>1</v>
      </c>
      <c r="U10" s="108" t="str">
        <f t="array" aca="1" ref="U10" ca="1">IFERROR(INDEX(DataTable[Действие],SMALL(IF(DataTable[Основание (НПА)]=$R10,IF(DataTable[Окончание]&gt;=today,ROW(DataTable[Основание (НПА)]),"")),U$1)-MATCH(DataTable[[#Headers],[№]],'эпапы, сроки'!$A$1:$A$65546)),"")</f>
        <v/>
      </c>
      <c r="V10" s="108" t="str">
        <f t="array" aca="1" ref="V10" ca="1">IFERROR(INDEX(DataTable[Действие],SMALL(IF(DataTable[Основание (НПА)]=$R10,IF(DataTable[Окончание]&gt;=today,ROW(DataTable[Основание (НПА)]),"")),V$1)-MATCH(DataTable[[#Headers],[№]],'эпапы, сроки'!$A$1:$A$65546)),"")</f>
        <v/>
      </c>
      <c r="W10" s="108" t="str">
        <f t="array" aca="1" ref="W10" ca="1">IFERROR(INDEX(DataTable[Действие],SMALL(IF(DataTable[Основание (НПА)]=$R10,IF(DataTable[Окончание]&gt;=today,ROW(DataTable[Основание (НПА)]),"")),W$1)-MATCH(DataTable[[#Headers],[№]],'эпапы, сроки'!$A$1:$A$65546)),"")</f>
        <v/>
      </c>
      <c r="X10" s="108" t="str">
        <f t="array" aca="1" ref="X10" ca="1">IFERROR(INDEX(DataTable[Действие],SMALL(IF(DataTable[Основание (НПА)]=$R10,IF(DataTable[Окончание]&gt;=today,ROW(DataTable[Основание (НПА)]),"")),X$1)-MATCH(DataTable[[#Headers],[№]],'эпапы, сроки'!$A$1:$A$65546)),"")</f>
        <v/>
      </c>
      <c r="Y10" s="108" t="str">
        <f t="array" aca="1" ref="Y10" ca="1">IFERROR(INDEX(DataTable[Действие],SMALL(IF(DataTable[Основание (НПА)]=$R10,IF(DataTable[Окончание]&gt;=today,ROW(DataTable[Основание (НПА)]),"")),Y$1)-MATCH(DataTable[[#Headers],[№]],'эпапы, сроки'!$A$1:$A$65546)),"")</f>
        <v/>
      </c>
      <c r="Z10" s="109" t="str">
        <f t="array" aca="1" ref="Z10" ca="1">IFERROR(INDEX(DataTable[Окончание],SMALL(IF(DataTable[Основание (НПА)]=$R10,IF(DataTable[Окончание]&gt;=today,ROW(DataTable[Категория]),"")),Z$1)-MATCH(DataTable[[#Headers],[№]],'эпапы, сроки'!$A$1:$A$65546)),"")</f>
        <v/>
      </c>
      <c r="AA10" s="109" t="str">
        <f t="array" aca="1" ref="AA10" ca="1">IFERROR(INDEX(DataTable[Окончание],SMALL(IF(DataTable[Основание (НПА)]=$R10,IF(DataTable[Окончание]&gt;=today,ROW(DataTable[Категория]),"")),AA$1)-MATCH(DataTable[[#Headers],[№]],'эпапы, сроки'!$A$1:$A$65546)),"")</f>
        <v/>
      </c>
      <c r="AB10" s="109" t="str">
        <f t="array" aca="1" ref="AB10" ca="1">IFERROR(INDEX(DataTable[Окончание],SMALL(IF(DataTable[Основание (НПА)]=$R10,IF(DataTable[Окончание]&gt;=today,ROW(DataTable[Категория]),"")),AB$1)-MATCH(DataTable[[#Headers],[№]],'эпапы, сроки'!$A$1:$A$65546)),"")</f>
        <v/>
      </c>
      <c r="AC10" s="109" t="str">
        <f t="array" aca="1" ref="AC10" ca="1">IFERROR(INDEX(DataTable[Окончание],SMALL(IF(DataTable[Основание (НПА)]=$R10,IF(DataTable[Окончание]&gt;=today,ROW(DataTable[Категория]),"")),AC$1)-MATCH(DataTable[[#Headers],[№]],'эпапы, сроки'!$A$1:$A$65546)),"")</f>
        <v/>
      </c>
      <c r="AD10" s="109" t="str">
        <f t="array" aca="1" ref="AD10" ca="1">IFERROR(INDEX(DataTable[Окончание],SMALL(IF(DataTable[Основание (НПА)]=$R10,IF(DataTable[Окончание]&gt;=today,ROW(DataTable[Категория]),"")),AD$1)-MATCH(DataTable[[#Headers],[№]],'эпапы, сроки'!$A$1:$A$65546)),"")</f>
        <v/>
      </c>
      <c r="AF10" s="110">
        <v>43179</v>
      </c>
      <c r="AG10" s="100" t="s">
        <v>115</v>
      </c>
      <c r="AH10" s="97"/>
    </row>
    <row r="11" spans="1:34" x14ac:dyDescent="0.2">
      <c r="A11" s="98">
        <v>43215</v>
      </c>
      <c r="B11" s="99">
        <v>1</v>
      </c>
      <c r="D11" s="100"/>
      <c r="E11" s="111"/>
      <c r="F11" s="111"/>
      <c r="G11" s="103" t="str">
        <f t="array" aca="1" ref="G11" ca="1">IFERROR(INDEX(DataTable[Действие],SMALL(IF(DataTable[Категория]=$D11,IF(DataTable[Окончание]&gt;=today,ROW(DataTable[Категория]),"")),G$1)-MATCH(DataTable[[#Headers],[№]],'эпапы, сроки'!$A$1:$A$65546)),"")</f>
        <v/>
      </c>
      <c r="H11" s="103" t="str">
        <f t="array" aca="1" ref="H11" ca="1">IFERROR(INDEX(DataTable[Действие],SMALL(IF(DataTable[Категория]=$D11,IF(DataTable[Окончание]&gt;=today,ROW(DataTable[Категория]),"")),H$1)-MATCH(DataTable[[#Headers],[№]],'эпапы, сроки'!$A$1:$A$65546)),"")</f>
        <v/>
      </c>
      <c r="I11" s="103" t="str">
        <f t="array" aca="1" ref="I11" ca="1">IFERROR(INDEX(DataTable[Действие],SMALL(IF(DataTable[Категория]=$D11,IF(DataTable[Окончание]&gt;=today,ROW(DataTable[Категория]),"")),I$1)-MATCH(DataTable[[#Headers],[№]],'эпапы, сроки'!$A$1:$A$65546)),"")</f>
        <v/>
      </c>
      <c r="J11" s="103" t="str">
        <f t="array" aca="1" ref="J11" ca="1">IFERROR(INDEX(DataTable[Действие],SMALL(IF(DataTable[Категория]=$D11,IF(DataTable[Окончание]&gt;=today,ROW(DataTable[Категория]),"")),J$1)-MATCH(DataTable[[#Headers],[№]],'эпапы, сроки'!$A$1:$A$65546)),"")</f>
        <v/>
      </c>
      <c r="K11" s="103" t="str">
        <f t="array" aca="1" ref="K11" ca="1">IFERROR(INDEX(DataTable[Действие],SMALL(IF(DataTable[Категория]=$D11,IF(DataTable[Окончание]&gt;=today,ROW(DataTable[Категория]),"")),K$1)-MATCH(DataTable[[#Headers],[№]],'эпапы, сроки'!$A$1:$A$65546)),"")</f>
        <v/>
      </c>
      <c r="L11" s="104" t="str">
        <f t="array" aca="1" ref="L11" ca="1">IFERROR(INDEX(DataTable[Окончание],SMALL(IF(DataTable[Категория]=$D11,IF(DataTable[Окончание]&gt;=today,ROW(DataTable[Категория]),"")),L$1)-MATCH(DataTable[[#Headers],[№]],'эпапы, сроки'!$A$1:$A$65546)),"")</f>
        <v/>
      </c>
      <c r="M11" s="104" t="str">
        <f t="array" aca="1" ref="M11" ca="1">IFERROR(INDEX(DataTable[Окончание],SMALL(IF(DataTable[Категория]=$D11,IF(DataTable[Окончание]&gt;=today,ROW(DataTable[Категория]),"")),M$1)-MATCH(DataTable[[#Headers],[№]],'эпапы, сроки'!$A$1:$A$65546)),"")</f>
        <v/>
      </c>
      <c r="N11" s="104" t="str">
        <f t="array" aca="1" ref="N11" ca="1">IFERROR(INDEX(DataTable[Окончание],SMALL(IF(DataTable[Категория]=$D11,IF(DataTable[Окончание]&gt;=today,ROW(DataTable[Категория]),"")),N$1)-MATCH(DataTable[[#Headers],[№]],'эпапы, сроки'!$A$1:$A$65546)),"")</f>
        <v/>
      </c>
      <c r="O11" s="104" t="str">
        <f t="array" aca="1" ref="O11" ca="1">IFERROR(INDEX(DataTable[Окончание],SMALL(IF(DataTable[Категория]=$D11,IF(DataTable[Окончание]&gt;=today,ROW(DataTable[Категория]),"")),O$1)-MATCH(DataTable[[#Headers],[№]],'эпапы, сроки'!$A$1:$A$65546)),"")</f>
        <v/>
      </c>
      <c r="P11" s="104" t="str">
        <f t="array" aca="1" ref="P11" ca="1">IFERROR(INDEX(DataTable[Окончание],SMALL(IF(DataTable[Категория]=$D11,IF(DataTable[Окончание]&gt;=today,ROW(DataTable[Категория]),"")),P$1)-MATCH(DataTable[[#Headers],[№]],'эпапы, сроки'!$A$1:$A$65546)),"")</f>
        <v/>
      </c>
      <c r="R11" s="105" t="s">
        <v>132</v>
      </c>
      <c r="S11" s="106">
        <f>COUNTIF(DataTable[Основание (НПА)],R11)</f>
        <v>1</v>
      </c>
      <c r="T11" s="107">
        <f t="array" ref="T11">SUM(--(DataTable[Основание (НПА)]=R11)*DataTable[%]*DataTable[Рабочих дней])/SUM(--(DataTable[Основание (НПА)]=R11)*DataTable[Рабочих дней])</f>
        <v>1</v>
      </c>
      <c r="U11" s="108" t="str">
        <f t="array" aca="1" ref="U11" ca="1">IFERROR(INDEX(DataTable[Действие],SMALL(IF(DataTable[Основание (НПА)]=$R11,IF(DataTable[Окончание]&gt;=today,ROW(DataTable[Основание (НПА)]),"")),U$1)-MATCH(DataTable[[#Headers],[№]],'эпапы, сроки'!$A$1:$A$65546)),"")</f>
        <v/>
      </c>
      <c r="V11" s="108" t="str">
        <f t="array" aca="1" ref="V11" ca="1">IFERROR(INDEX(DataTable[Действие],SMALL(IF(DataTable[Основание (НПА)]=$R11,IF(DataTable[Окончание]&gt;=today,ROW(DataTable[Основание (НПА)]),"")),V$1)-MATCH(DataTable[[#Headers],[№]],'эпапы, сроки'!$A$1:$A$65546)),"")</f>
        <v/>
      </c>
      <c r="W11" s="108" t="str">
        <f t="array" aca="1" ref="W11" ca="1">IFERROR(INDEX(DataTable[Действие],SMALL(IF(DataTable[Основание (НПА)]=$R11,IF(DataTable[Окончание]&gt;=today,ROW(DataTable[Основание (НПА)]),"")),W$1)-MATCH(DataTable[[#Headers],[№]],'эпапы, сроки'!$A$1:$A$65546)),"")</f>
        <v/>
      </c>
      <c r="X11" s="108" t="str">
        <f t="array" aca="1" ref="X11" ca="1">IFERROR(INDEX(DataTable[Действие],SMALL(IF(DataTable[Основание (НПА)]=$R11,IF(DataTable[Окончание]&gt;=today,ROW(DataTable[Основание (НПА)]),"")),X$1)-MATCH(DataTable[[#Headers],[№]],'эпапы, сроки'!$A$1:$A$65546)),"")</f>
        <v/>
      </c>
      <c r="Y11" s="108" t="str">
        <f t="array" aca="1" ref="Y11" ca="1">IFERROR(INDEX(DataTable[Действие],SMALL(IF(DataTable[Основание (НПА)]=$R11,IF(DataTable[Окончание]&gt;=today,ROW(DataTable[Основание (НПА)]),"")),Y$1)-MATCH(DataTable[[#Headers],[№]],'эпапы, сроки'!$A$1:$A$65546)),"")</f>
        <v/>
      </c>
      <c r="Z11" s="109" t="str">
        <f t="array" aca="1" ref="Z11" ca="1">IFERROR(INDEX(DataTable[Окончание],SMALL(IF(DataTable[Основание (НПА)]=$R11,IF(DataTable[Окончание]&gt;=today,ROW(DataTable[Категория]),"")),Z$1)-MATCH(DataTable[[#Headers],[№]],'эпапы, сроки'!$A$1:$A$65546)),"")</f>
        <v/>
      </c>
      <c r="AA11" s="109" t="str">
        <f t="array" aca="1" ref="AA11" ca="1">IFERROR(INDEX(DataTable[Окончание],SMALL(IF(DataTable[Основание (НПА)]=$R11,IF(DataTable[Окончание]&gt;=today,ROW(DataTable[Категория]),"")),AA$1)-MATCH(DataTable[[#Headers],[№]],'эпапы, сроки'!$A$1:$A$65546)),"")</f>
        <v/>
      </c>
      <c r="AB11" s="109" t="str">
        <f t="array" aca="1" ref="AB11" ca="1">IFERROR(INDEX(DataTable[Окончание],SMALL(IF(DataTable[Основание (НПА)]=$R11,IF(DataTable[Окончание]&gt;=today,ROW(DataTable[Категория]),"")),AB$1)-MATCH(DataTable[[#Headers],[№]],'эпапы, сроки'!$A$1:$A$65546)),"")</f>
        <v/>
      </c>
      <c r="AC11" s="109" t="str">
        <f t="array" aca="1" ref="AC11" ca="1">IFERROR(INDEX(DataTable[Окончание],SMALL(IF(DataTable[Основание (НПА)]=$R11,IF(DataTable[Окончание]&gt;=today,ROW(DataTable[Категория]),"")),AC$1)-MATCH(DataTable[[#Headers],[№]],'эпапы, сроки'!$A$1:$A$65546)),"")</f>
        <v/>
      </c>
      <c r="AD11" s="109" t="str">
        <f t="array" aca="1" ref="AD11" ca="1">IFERROR(INDEX(DataTable[Окончание],SMALL(IF(DataTable[Основание (НПА)]=$R11,IF(DataTable[Окончание]&gt;=today,ROW(DataTable[Категория]),"")),AD$1)-MATCH(DataTable[[#Headers],[№]],'эпапы, сроки'!$A$1:$A$65546)),"")</f>
        <v/>
      </c>
      <c r="AF11" s="110">
        <v>43187</v>
      </c>
      <c r="AG11" s="100" t="s">
        <v>83</v>
      </c>
      <c r="AH11" s="97"/>
    </row>
    <row r="12" spans="1:34" x14ac:dyDescent="0.2">
      <c r="A12" s="98">
        <v>43218</v>
      </c>
      <c r="B12" s="99">
        <v>1</v>
      </c>
      <c r="D12" s="97"/>
      <c r="E12" s="111"/>
      <c r="F12" s="111"/>
      <c r="G12" s="103" t="str">
        <f t="array" aca="1" ref="G12" ca="1">IFERROR(INDEX(DataTable[Действие],SMALL(IF(DataTable[Категория]=$D12,IF(DataTable[Окончание]&gt;=today,ROW(DataTable[Категория]),"")),G$1)-MATCH(DataTable[[#Headers],[№]],'эпапы, сроки'!$A$1:$A$65546)),"")</f>
        <v/>
      </c>
      <c r="H12" s="103" t="str">
        <f t="array" aca="1" ref="H12" ca="1">IFERROR(INDEX(DataTable[Действие],SMALL(IF(DataTable[Категория]=$D12,IF(DataTable[Окончание]&gt;=today,ROW(DataTable[Категория]),"")),H$1)-MATCH(DataTable[[#Headers],[№]],'эпапы, сроки'!$A$1:$A$65546)),"")</f>
        <v/>
      </c>
      <c r="I12" s="103" t="str">
        <f t="array" aca="1" ref="I12" ca="1">IFERROR(INDEX(DataTable[Действие],SMALL(IF(DataTable[Категория]=$D12,IF(DataTable[Окончание]&gt;=today,ROW(DataTable[Категория]),"")),I$1)-MATCH(DataTable[[#Headers],[№]],'эпапы, сроки'!$A$1:$A$65546)),"")</f>
        <v/>
      </c>
      <c r="J12" s="103" t="str">
        <f t="array" aca="1" ref="J12" ca="1">IFERROR(INDEX(DataTable[Действие],SMALL(IF(DataTable[Категория]=$D12,IF(DataTable[Окончание]&gt;=today,ROW(DataTable[Категория]),"")),J$1)-MATCH(DataTable[[#Headers],[№]],'эпапы, сроки'!$A$1:$A$65546)),"")</f>
        <v/>
      </c>
      <c r="K12" s="103" t="str">
        <f t="array" aca="1" ref="K12" ca="1">IFERROR(INDEX(DataTable[Действие],SMALL(IF(DataTable[Категория]=$D12,IF(DataTable[Окончание]&gt;=today,ROW(DataTable[Категория]),"")),K$1)-MATCH(DataTable[[#Headers],[№]],'эпапы, сроки'!$A$1:$A$65546)),"")</f>
        <v/>
      </c>
      <c r="L12" s="104" t="str">
        <f t="array" aca="1" ref="L12" ca="1">IFERROR(INDEX(DataTable[Окончание],SMALL(IF(DataTable[Категория]=$D12,IF(DataTable[Окончание]&gt;=today,ROW(DataTable[Категория]),"")),L$1)-MATCH(DataTable[[#Headers],[№]],'эпапы, сроки'!$A$1:$A$65546)),"")</f>
        <v/>
      </c>
      <c r="M12" s="104" t="str">
        <f t="array" aca="1" ref="M12" ca="1">IFERROR(INDEX(DataTable[Окончание],SMALL(IF(DataTable[Категория]=$D12,IF(DataTable[Окончание]&gt;=today,ROW(DataTable[Категория]),"")),M$1)-MATCH(DataTable[[#Headers],[№]],'эпапы, сроки'!$A$1:$A$65546)),"")</f>
        <v/>
      </c>
      <c r="N12" s="104" t="str">
        <f t="array" aca="1" ref="N12" ca="1">IFERROR(INDEX(DataTable[Окончание],SMALL(IF(DataTable[Категория]=$D12,IF(DataTable[Окончание]&gt;=today,ROW(DataTable[Категория]),"")),N$1)-MATCH(DataTable[[#Headers],[№]],'эпапы, сроки'!$A$1:$A$65546)),"")</f>
        <v/>
      </c>
      <c r="O12" s="104" t="str">
        <f t="array" aca="1" ref="O12" ca="1">IFERROR(INDEX(DataTable[Окончание],SMALL(IF(DataTable[Категория]=$D12,IF(DataTable[Окончание]&gt;=today,ROW(DataTable[Категория]),"")),O$1)-MATCH(DataTable[[#Headers],[№]],'эпапы, сроки'!$A$1:$A$65546)),"")</f>
        <v/>
      </c>
      <c r="P12" s="104" t="str">
        <f t="array" aca="1" ref="P12" ca="1">IFERROR(INDEX(DataTable[Окончание],SMALL(IF(DataTable[Категория]=$D12,IF(DataTable[Окончание]&gt;=today,ROW(DataTable[Категория]),"")),P$1)-MATCH(DataTable[[#Headers],[№]],'эпапы, сроки'!$A$1:$A$65546)),"")</f>
        <v/>
      </c>
      <c r="R12" s="105" t="s">
        <v>180</v>
      </c>
      <c r="S12" s="106">
        <f>COUNTIF(DataTable[Основание (НПА)],R12)</f>
        <v>49</v>
      </c>
      <c r="T12" s="107">
        <f t="array" ref="T12">SUM(--(DataTable[Основание (НПА)]=R12)*DataTable[%]*DataTable[Рабочих дней])/SUM(--(DataTable[Основание (НПА)]=R12)*DataTable[Рабочих дней])</f>
        <v>6.0052910052910052E-2</v>
      </c>
      <c r="U12" s="108" t="str">
        <f t="array" aca="1" ref="U12" ca="1">IFERROR(INDEX(DataTable[Действие],SMALL(IF(DataTable[Основание (НПА)]=$R12,IF(DataTable[Окончание]&gt;=today,ROW(DataTable[Основание (НПА)]),"")),U$1)-MATCH(DataTable[[#Headers],[№]],'эпапы, сроки'!$A$1:$A$65546)),"")</f>
        <v>Обоснования и расчеты бюджетных ассигнований на 2019 – 2021 годы</v>
      </c>
      <c r="V12" s="108" t="str">
        <f t="array" aca="1" ref="V12" ca="1">IFERROR(INDEX(DataTable[Действие],SMALL(IF(DataTable[Основание (НПА)]=$R12,IF(DataTable[Окончание]&gt;=today,ROW(DataTable[Основание (НПА)]),"")),V$1)-MATCH(DataTable[[#Headers],[№]],'эпапы, сроки'!$A$1:$A$65546)),"")</f>
        <v>Фактический фонд оплаты труда работающих за 2017 год, оценка фонда оплаты труда работающих в 2018 году и его прогноз на 2019-2021 годы в разрезе муниципальных образований (городских округов, муниципальных районов, поселений)</v>
      </c>
      <c r="W12" s="108" t="str">
        <f t="array" aca="1" ref="W12" ca="1">IFERROR(INDEX(DataTable[Действие],SMALL(IF(DataTable[Основание (НПА)]=$R12,IF(DataTable[Окончание]&gt;=today,ROW(DataTable[Основание (НПА)]),"")),W$1)-MATCH(DataTable[[#Headers],[№]],'эпапы, сроки'!$A$1:$A$65546)),"")</f>
        <v>Данные о фактической прибыли прибыльных предприятий за 2017 год, оценка прибыли прибыльных предприятий на 2018 год и ее прогноз на 2019 – 2021 годы в разрезе муниципальных образований (городских округов, муниципальных районов)</v>
      </c>
      <c r="X12" s="108" t="str">
        <f t="array" aca="1" ref="X12" ca="1">IFERROR(INDEX(DataTable[Действие],SMALL(IF(DataTable[Основание (НПА)]=$R12,IF(DataTable[Окончание]&gt;=today,ROW(DataTable[Основание (НПА)]),"")),X$1)-MATCH(DataTable[[#Headers],[№]],'эпапы, сроки'!$A$1:$A$65546)),"")</f>
        <v>Сведения о стоимости основных фондов на 1 января 2018 года и на 1 апреля 2018 года в разрезе муниципальных образований (городских округов, муниципальных районов)</v>
      </c>
      <c r="Y12" s="108" t="str">
        <f t="array" aca="1" ref="Y12" ca="1">IFERROR(INDEX(DataTable[Действие],SMALL(IF(DataTable[Основание (НПА)]=$R12,IF(DataTable[Окончание]&gt;=today,ROW(DataTable[Основание (НПА)]),"")),Y$1)-MATCH(DataTable[[#Headers],[№]],'эпапы, сроки'!$A$1:$A$65546)),"")</f>
        <v>Данные о наличии жилищного фонда в муниципальной собственности и обслуживаемого жилищного фонда по состоянию на 1 января 2018 года в разрезе муниципальных образований (городских округов, муниципальных районов, городских и сельских поселений)</v>
      </c>
      <c r="Z12" s="109">
        <f t="array" aca="1" ref="Z12" ca="1">IFERROR(INDEX(DataTable[Окончание],SMALL(IF(DataTable[Основание (НПА)]=$R12,IF(DataTable[Окончание]&gt;=today,ROW(DataTable[Категория]),"")),Z$1)-MATCH(DataTable[[#Headers],[№]],'эпапы, сроки'!$A$1:$A$65546)),"")</f>
        <v>43287</v>
      </c>
      <c r="AA12" s="109">
        <f t="array" aca="1" ref="AA12" ca="1">IFERROR(INDEX(DataTable[Окончание],SMALL(IF(DataTable[Основание (НПА)]=$R12,IF(DataTable[Окончание]&gt;=today,ROW(DataTable[Категория]),"")),AA$1)-MATCH(DataTable[[#Headers],[№]],'эпапы, сроки'!$A$1:$A$65546)),"")</f>
        <v>43293</v>
      </c>
      <c r="AB12" s="109">
        <f t="array" aca="1" ref="AB12" ca="1">IFERROR(INDEX(DataTable[Окончание],SMALL(IF(DataTable[Основание (НПА)]=$R12,IF(DataTable[Окончание]&gt;=today,ROW(DataTable[Категория]),"")),AB$1)-MATCH(DataTable[[#Headers],[№]],'эпапы, сроки'!$A$1:$A$65546)),"")</f>
        <v>43293</v>
      </c>
      <c r="AC12" s="109">
        <f t="array" aca="1" ref="AC12" ca="1">IFERROR(INDEX(DataTable[Окончание],SMALL(IF(DataTable[Основание (НПА)]=$R12,IF(DataTable[Окончание]&gt;=today,ROW(DataTable[Категория]),"")),AC$1)-MATCH(DataTable[[#Headers],[№]],'эпапы, сроки'!$A$1:$A$65546)),"")</f>
        <v>43293</v>
      </c>
      <c r="AD12" s="109">
        <f t="array" aca="1" ref="AD12" ca="1">IFERROR(INDEX(DataTable[Окончание],SMALL(IF(DataTable[Основание (НПА)]=$R12,IF(DataTable[Окончание]&gt;=today,ROW(DataTable[Категория]),"")),AD$1)-MATCH(DataTable[[#Headers],[№]],'эпапы, сроки'!$A$1:$A$65546)),"")</f>
        <v>43293</v>
      </c>
      <c r="AF12" s="110">
        <v>43188</v>
      </c>
      <c r="AG12" s="100" t="s">
        <v>125</v>
      </c>
      <c r="AH12" s="97"/>
    </row>
    <row r="13" spans="1:34" x14ac:dyDescent="0.2">
      <c r="A13" s="98">
        <v>43220</v>
      </c>
      <c r="B13" s="99">
        <v>1</v>
      </c>
      <c r="D13" s="97"/>
      <c r="E13" s="111"/>
      <c r="F13" s="111"/>
      <c r="G13" s="103" t="str">
        <f t="array" aca="1" ref="G13" ca="1">IFERROR(INDEX(DataTable[Действие],SMALL(IF(DataTable[Категория]=$D13,IF(DataTable[Окончание]&gt;=today,ROW(DataTable[Категория]),"")),G$1)-MATCH(DataTable[[#Headers],[№]],'эпапы, сроки'!$A$1:$A$65546)),"")</f>
        <v/>
      </c>
      <c r="H13" s="103" t="str">
        <f t="array" aca="1" ref="H13" ca="1">IFERROR(INDEX(DataTable[Действие],SMALL(IF(DataTable[Категория]=$D13,IF(DataTable[Окончание]&gt;=today,ROW(DataTable[Категория]),"")),H$1)-MATCH(DataTable[[#Headers],[№]],'эпапы, сроки'!$A$1:$A$65546)),"")</f>
        <v/>
      </c>
      <c r="I13" s="103" t="str">
        <f t="array" aca="1" ref="I13" ca="1">IFERROR(INDEX(DataTable[Действие],SMALL(IF(DataTable[Категория]=$D13,IF(DataTable[Окончание]&gt;=today,ROW(DataTable[Категория]),"")),I$1)-MATCH(DataTable[[#Headers],[№]],'эпапы, сроки'!$A$1:$A$65546)),"")</f>
        <v/>
      </c>
      <c r="J13" s="103" t="str">
        <f t="array" aca="1" ref="J13" ca="1">IFERROR(INDEX(DataTable[Действие],SMALL(IF(DataTable[Категория]=$D13,IF(DataTable[Окончание]&gt;=today,ROW(DataTable[Категория]),"")),J$1)-MATCH(DataTable[[#Headers],[№]],'эпапы, сроки'!$A$1:$A$65546)),"")</f>
        <v/>
      </c>
      <c r="K13" s="103" t="str">
        <f t="array" aca="1" ref="K13" ca="1">IFERROR(INDEX(DataTable[Действие],SMALL(IF(DataTable[Категория]=$D13,IF(DataTable[Окончание]&gt;=today,ROW(DataTable[Категория]),"")),K$1)-MATCH(DataTable[[#Headers],[№]],'эпапы, сроки'!$A$1:$A$65546)),"")</f>
        <v/>
      </c>
      <c r="L13" s="104" t="str">
        <f t="array" aca="1" ref="L13" ca="1">IFERROR(INDEX(DataTable[Окончание],SMALL(IF(DataTable[Категория]=$D13,IF(DataTable[Окончание]&gt;=today,ROW(DataTable[Категория]),"")),L$1)-MATCH(DataTable[[#Headers],[№]],'эпапы, сроки'!$A$1:$A$65546)),"")</f>
        <v/>
      </c>
      <c r="M13" s="104" t="str">
        <f t="array" aca="1" ref="M13" ca="1">IFERROR(INDEX(DataTable[Окончание],SMALL(IF(DataTable[Категория]=$D13,IF(DataTable[Окончание]&gt;=today,ROW(DataTable[Категория]),"")),M$1)-MATCH(DataTable[[#Headers],[№]],'эпапы, сроки'!$A$1:$A$65546)),"")</f>
        <v/>
      </c>
      <c r="N13" s="104" t="str">
        <f t="array" aca="1" ref="N13" ca="1">IFERROR(INDEX(DataTable[Окончание],SMALL(IF(DataTable[Категория]=$D13,IF(DataTable[Окончание]&gt;=today,ROW(DataTable[Категория]),"")),N$1)-MATCH(DataTable[[#Headers],[№]],'эпапы, сроки'!$A$1:$A$65546)),"")</f>
        <v/>
      </c>
      <c r="O13" s="104" t="str">
        <f t="array" aca="1" ref="O13" ca="1">IFERROR(INDEX(DataTable[Окончание],SMALL(IF(DataTable[Категория]=$D13,IF(DataTable[Окончание]&gt;=today,ROW(DataTable[Категория]),"")),O$1)-MATCH(DataTable[[#Headers],[№]],'эпапы, сроки'!$A$1:$A$65546)),"")</f>
        <v/>
      </c>
      <c r="P13" s="104" t="str">
        <f t="array" aca="1" ref="P13" ca="1">IFERROR(INDEX(DataTable[Окончание],SMALL(IF(DataTable[Категория]=$D13,IF(DataTable[Окончание]&gt;=today,ROW(DataTable[Категория]),"")),P$1)-MATCH(DataTable[[#Headers],[№]],'эпапы, сроки'!$A$1:$A$65546)),"")</f>
        <v/>
      </c>
      <c r="R13" s="105" t="s">
        <v>134</v>
      </c>
      <c r="S13" s="106">
        <f>COUNTIF(DataTable[Основание (НПА)],R13)</f>
        <v>1</v>
      </c>
      <c r="T13" s="107">
        <f t="array" ref="T13">SUM(--(DataTable[Основание (НПА)]=R13)*DataTable[%]*DataTable[Рабочих дней])/SUM(--(DataTable[Основание (НПА)]=R13)*DataTable[Рабочих дней])</f>
        <v>0</v>
      </c>
      <c r="U13" s="108" t="str">
        <f t="array" aca="1" ref="U13" ca="1">IFERROR(INDEX(DataTable[Действие],SMALL(IF(DataTable[Основание (НПА)]=$R13,IF(DataTable[Окончание]&gt;=today,ROW(DataTable[Основание (НПА)]),"")),U$1)-MATCH(DataTable[[#Headers],[№]],'эпапы, сроки'!$A$1:$A$65546)),"")</f>
        <v>Оценка эффективности предоставленных и планируемых к предоставлению налоговых льгот</v>
      </c>
      <c r="V13" s="108" t="str">
        <f t="array" aca="1" ref="V13" ca="1">IFERROR(INDEX(DataTable[Действие],SMALL(IF(DataTable[Основание (НПА)]=$R13,IF(DataTable[Окончание]&gt;=today,ROW(DataTable[Основание (НПА)]),"")),V$1)-MATCH(DataTable[[#Headers],[№]],'эпапы, сроки'!$A$1:$A$65546)),"")</f>
        <v/>
      </c>
      <c r="W13" s="108" t="str">
        <f t="array" aca="1" ref="W13" ca="1">IFERROR(INDEX(DataTable[Действие],SMALL(IF(DataTable[Основание (НПА)]=$R13,IF(DataTable[Окончание]&gt;=today,ROW(DataTable[Основание (НПА)]),"")),W$1)-MATCH(DataTable[[#Headers],[№]],'эпапы, сроки'!$A$1:$A$65546)),"")</f>
        <v/>
      </c>
      <c r="X13" s="108" t="str">
        <f t="array" aca="1" ref="X13" ca="1">IFERROR(INDEX(DataTable[Действие],SMALL(IF(DataTable[Основание (НПА)]=$R13,IF(DataTable[Окончание]&gt;=today,ROW(DataTable[Основание (НПА)]),"")),X$1)-MATCH(DataTable[[#Headers],[№]],'эпапы, сроки'!$A$1:$A$65546)),"")</f>
        <v/>
      </c>
      <c r="Y13" s="108" t="str">
        <f t="array" aca="1" ref="Y13" ca="1">IFERROR(INDEX(DataTable[Действие],SMALL(IF(DataTable[Основание (НПА)]=$R13,IF(DataTable[Окончание]&gt;=today,ROW(DataTable[Основание (НПА)]),"")),Y$1)-MATCH(DataTable[[#Headers],[№]],'эпапы, сроки'!$A$1:$A$65546)),"")</f>
        <v/>
      </c>
      <c r="Z13" s="109">
        <f t="array" aca="1" ref="Z13" ca="1">IFERROR(INDEX(DataTable[Окончание],SMALL(IF(DataTable[Основание (НПА)]=$R13,IF(DataTable[Окончание]&gt;=today,ROW(DataTable[Категория]),"")),Z$1)-MATCH(DataTable[[#Headers],[№]],'эпапы, сроки'!$A$1:$A$65546)),"")</f>
        <v>43344</v>
      </c>
      <c r="AA13" s="109" t="str">
        <f t="array" aca="1" ref="AA13" ca="1">IFERROR(INDEX(DataTable[Окончание],SMALL(IF(DataTable[Основание (НПА)]=$R13,IF(DataTable[Окончание]&gt;=today,ROW(DataTable[Категория]),"")),AA$1)-MATCH(DataTable[[#Headers],[№]],'эпапы, сроки'!$A$1:$A$65546)),"")</f>
        <v/>
      </c>
      <c r="AB13" s="109" t="str">
        <f t="array" aca="1" ref="AB13" ca="1">IFERROR(INDEX(DataTable[Окончание],SMALL(IF(DataTable[Основание (НПА)]=$R13,IF(DataTable[Окончание]&gt;=today,ROW(DataTable[Категория]),"")),AB$1)-MATCH(DataTable[[#Headers],[№]],'эпапы, сроки'!$A$1:$A$65546)),"")</f>
        <v/>
      </c>
      <c r="AC13" s="109" t="str">
        <f t="array" aca="1" ref="AC13" ca="1">IFERROR(INDEX(DataTable[Окончание],SMALL(IF(DataTable[Основание (НПА)]=$R13,IF(DataTable[Окончание]&gt;=today,ROW(DataTable[Категория]),"")),AC$1)-MATCH(DataTable[[#Headers],[№]],'эпапы, сроки'!$A$1:$A$65546)),"")</f>
        <v/>
      </c>
      <c r="AD13" s="109" t="str">
        <f t="array" aca="1" ref="AD13" ca="1">IFERROR(INDEX(DataTable[Окончание],SMALL(IF(DataTable[Основание (НПА)]=$R13,IF(DataTable[Окончание]&gt;=today,ROW(DataTable[Категория]),"")),AD$1)-MATCH(DataTable[[#Headers],[№]],'эпапы, сроки'!$A$1:$A$65546)),"")</f>
        <v/>
      </c>
      <c r="AF13" s="110">
        <v>43192</v>
      </c>
      <c r="AG13" s="100" t="s">
        <v>93</v>
      </c>
      <c r="AH13" s="97"/>
    </row>
    <row r="14" spans="1:34" x14ac:dyDescent="0.2">
      <c r="A14" s="98">
        <v>43223</v>
      </c>
      <c r="B14" s="99">
        <v>3</v>
      </c>
      <c r="D14" s="97"/>
      <c r="E14" s="111"/>
      <c r="F14" s="111"/>
      <c r="G14" s="103" t="str">
        <f t="array" aca="1" ref="G14" ca="1">IFERROR(INDEX(DataTable[Действие],SMALL(IF(DataTable[Категория]=$D14,IF(DataTable[Окончание]&gt;=today,ROW(DataTable[Категория]),"")),G$1)-MATCH(DataTable[[#Headers],[№]],'эпапы, сроки'!$A$1:$A$65546)),"")</f>
        <v/>
      </c>
      <c r="H14" s="103" t="str">
        <f t="array" aca="1" ref="H14" ca="1">IFERROR(INDEX(DataTable[Действие],SMALL(IF(DataTable[Категория]=$D14,IF(DataTable[Окончание]&gt;=today,ROW(DataTable[Категория]),"")),H$1)-MATCH(DataTable[[#Headers],[№]],'эпапы, сроки'!$A$1:$A$65546)),"")</f>
        <v/>
      </c>
      <c r="I14" s="103" t="str">
        <f t="array" aca="1" ref="I14" ca="1">IFERROR(INDEX(DataTable[Действие],SMALL(IF(DataTable[Категория]=$D14,IF(DataTable[Окончание]&gt;=today,ROW(DataTable[Категория]),"")),I$1)-MATCH(DataTable[[#Headers],[№]],'эпапы, сроки'!$A$1:$A$65546)),"")</f>
        <v/>
      </c>
      <c r="J14" s="103" t="str">
        <f t="array" aca="1" ref="J14" ca="1">IFERROR(INDEX(DataTable[Действие],SMALL(IF(DataTable[Категория]=$D14,IF(DataTable[Окончание]&gt;=today,ROW(DataTable[Категория]),"")),J$1)-MATCH(DataTable[[#Headers],[№]],'эпапы, сроки'!$A$1:$A$65546)),"")</f>
        <v/>
      </c>
      <c r="K14" s="103" t="str">
        <f t="array" aca="1" ref="K14" ca="1">IFERROR(INDEX(DataTable[Действие],SMALL(IF(DataTable[Категория]=$D14,IF(DataTable[Окончание]&gt;=today,ROW(DataTable[Категория]),"")),K$1)-MATCH(DataTable[[#Headers],[№]],'эпапы, сроки'!$A$1:$A$65546)),"")</f>
        <v/>
      </c>
      <c r="L14" s="104" t="str">
        <f t="array" aca="1" ref="L14" ca="1">IFERROR(INDEX(DataTable[Окончание],SMALL(IF(DataTable[Категория]=$D14,IF(DataTable[Окончание]&gt;=today,ROW(DataTable[Категория]),"")),L$1)-MATCH(DataTable[[#Headers],[№]],'эпапы, сроки'!$A$1:$A$65546)),"")</f>
        <v/>
      </c>
      <c r="M14" s="104" t="str">
        <f t="array" aca="1" ref="M14" ca="1">IFERROR(INDEX(DataTable[Окончание],SMALL(IF(DataTable[Категория]=$D14,IF(DataTable[Окончание]&gt;=today,ROW(DataTable[Категория]),"")),M$1)-MATCH(DataTable[[#Headers],[№]],'эпапы, сроки'!$A$1:$A$65546)),"")</f>
        <v/>
      </c>
      <c r="N14" s="104" t="str">
        <f t="array" aca="1" ref="N14" ca="1">IFERROR(INDEX(DataTable[Окончание],SMALL(IF(DataTable[Категория]=$D14,IF(DataTable[Окончание]&gt;=today,ROW(DataTable[Категория]),"")),N$1)-MATCH(DataTable[[#Headers],[№]],'эпапы, сроки'!$A$1:$A$65546)),"")</f>
        <v/>
      </c>
      <c r="O14" s="104" t="str">
        <f t="array" aca="1" ref="O14" ca="1">IFERROR(INDEX(DataTable[Окончание],SMALL(IF(DataTable[Категория]=$D14,IF(DataTable[Окончание]&gt;=today,ROW(DataTable[Категория]),"")),O$1)-MATCH(DataTable[[#Headers],[№]],'эпапы, сроки'!$A$1:$A$65546)),"")</f>
        <v/>
      </c>
      <c r="P14" s="104" t="str">
        <f t="array" aca="1" ref="P14" ca="1">IFERROR(INDEX(DataTable[Окончание],SMALL(IF(DataTable[Категория]=$D14,IF(DataTable[Окончание]&gt;=today,ROW(DataTable[Категория]),"")),P$1)-MATCH(DataTable[[#Headers],[№]],'эпапы, сроки'!$A$1:$A$65546)),"")</f>
        <v/>
      </c>
      <c r="R14" s="112" t="s">
        <v>135</v>
      </c>
      <c r="S14" s="106">
        <f>COUNTIF(DataTable[Основание (НПА)],R14)</f>
        <v>1</v>
      </c>
      <c r="T14" s="107">
        <f t="array" ref="T14">SUM(--(DataTable[Основание (НПА)]=R14)*DataTable[%]*DataTable[Рабочих дней])/SUM(--(DataTable[Основание (НПА)]=R14)*DataTable[Рабочих дней])</f>
        <v>0</v>
      </c>
      <c r="U14" s="108" t="str">
        <f t="array" aca="1" ref="U14" ca="1">IFERROR(INDEX(DataTable[Действие],SMALL(IF(DataTable[Основание (НПА)]=$R14,IF(DataTable[Окончание]&gt;=today,ROW(DataTable[Основание (НПА)]),"")),U$1)-MATCH(DataTable[[#Headers],[№]],'эпапы, сроки'!$A$1:$A$65546)),"")</f>
        <v>Организация и проведение публичных слушаний по проекту закона о бюджете на очередной финансовый год и на плановый период</v>
      </c>
      <c r="V14" s="108" t="str">
        <f t="array" aca="1" ref="V14" ca="1">IFERROR(INDEX(DataTable[Действие],SMALL(IF(DataTable[Основание (НПА)]=$R14,IF(DataTable[Окончание]&gt;=today,ROW(DataTable[Основание (НПА)]),"")),V$1)-MATCH(DataTable[[#Headers],[№]],'эпапы, сроки'!$A$1:$A$65546)),"")</f>
        <v/>
      </c>
      <c r="W14" s="108" t="str">
        <f t="array" aca="1" ref="W14" ca="1">IFERROR(INDEX(DataTable[Действие],SMALL(IF(DataTable[Основание (НПА)]=$R14,IF(DataTable[Окончание]&gt;=today,ROW(DataTable[Основание (НПА)]),"")),W$1)-MATCH(DataTable[[#Headers],[№]],'эпапы, сроки'!$A$1:$A$65546)),"")</f>
        <v/>
      </c>
      <c r="X14" s="108" t="str">
        <f t="array" aca="1" ref="X14" ca="1">IFERROR(INDEX(DataTable[Действие],SMALL(IF(DataTable[Основание (НПА)]=$R14,IF(DataTable[Окончание]&gt;=today,ROW(DataTable[Основание (НПА)]),"")),X$1)-MATCH(DataTable[[#Headers],[№]],'эпапы, сроки'!$A$1:$A$65546)),"")</f>
        <v/>
      </c>
      <c r="Y14" s="108" t="str">
        <f t="array" aca="1" ref="Y14" ca="1">IFERROR(INDEX(DataTable[Действие],SMALL(IF(DataTable[Основание (НПА)]=$R14,IF(DataTable[Окончание]&gt;=today,ROW(DataTable[Основание (НПА)]),"")),Y$1)-MATCH(DataTable[[#Headers],[№]],'эпапы, сроки'!$A$1:$A$65546)),"")</f>
        <v/>
      </c>
      <c r="Z14" s="109">
        <f t="array" aca="1" ref="Z14" ca="1">IFERROR(INDEX(DataTable[Окончание],SMALL(IF(DataTable[Основание (НПА)]=$R14,IF(DataTable[Окончание]&gt;=today,ROW(DataTable[Категория]),"")),Z$1)-MATCH(DataTable[[#Headers],[№]],'эпапы, сроки'!$A$1:$A$65546)),"")</f>
        <v>43423</v>
      </c>
      <c r="AA14" s="109" t="str">
        <f t="array" aca="1" ref="AA14" ca="1">IFERROR(INDEX(DataTable[Окончание],SMALL(IF(DataTable[Основание (НПА)]=$R14,IF(DataTable[Окончание]&gt;=today,ROW(DataTable[Категория]),"")),AA$1)-MATCH(DataTable[[#Headers],[№]],'эпапы, сроки'!$A$1:$A$65546)),"")</f>
        <v/>
      </c>
      <c r="AB14" s="109" t="str">
        <f t="array" aca="1" ref="AB14" ca="1">IFERROR(INDEX(DataTable[Окончание],SMALL(IF(DataTable[Основание (НПА)]=$R14,IF(DataTable[Окончание]&gt;=today,ROW(DataTable[Категория]),"")),AB$1)-MATCH(DataTable[[#Headers],[№]],'эпапы, сроки'!$A$1:$A$65546)),"")</f>
        <v/>
      </c>
      <c r="AC14" s="109" t="str">
        <f t="array" aca="1" ref="AC14" ca="1">IFERROR(INDEX(DataTable[Окончание],SMALL(IF(DataTable[Основание (НПА)]=$R14,IF(DataTable[Окончание]&gt;=today,ROW(DataTable[Категория]),"")),AC$1)-MATCH(DataTable[[#Headers],[№]],'эпапы, сроки'!$A$1:$A$65546)),"")</f>
        <v/>
      </c>
      <c r="AD14" s="109" t="str">
        <f t="array" aca="1" ref="AD14" ca="1">IFERROR(INDEX(DataTable[Окончание],SMALL(IF(DataTable[Основание (НПА)]=$R14,IF(DataTable[Окончание]&gt;=today,ROW(DataTable[Категория]),"")),AD$1)-MATCH(DataTable[[#Headers],[№]],'эпапы, сроки'!$A$1:$A$65546)),"")</f>
        <v/>
      </c>
      <c r="AF14" s="110">
        <v>43205</v>
      </c>
      <c r="AG14" s="100" t="s">
        <v>72</v>
      </c>
      <c r="AH14" s="97"/>
    </row>
    <row r="15" spans="1:34" x14ac:dyDescent="0.2">
      <c r="A15" s="98">
        <v>43245</v>
      </c>
      <c r="B15" s="99">
        <v>1</v>
      </c>
      <c r="D15" s="97"/>
      <c r="E15" s="111"/>
      <c r="F15" s="111"/>
      <c r="G15" s="103" t="str">
        <f t="array" aca="1" ref="G15" ca="1">IFERROR(INDEX(DataTable[Действие],SMALL(IF(DataTable[Категория]=$D15,IF(DataTable[Окончание]&gt;=today,ROW(DataTable[Категория]),"")),G$1)-MATCH(DataTable[[#Headers],[№]],'эпапы, сроки'!$A$1:$A$65546)),"")</f>
        <v/>
      </c>
      <c r="H15" s="103" t="str">
        <f t="array" aca="1" ref="H15" ca="1">IFERROR(INDEX(DataTable[Действие],SMALL(IF(DataTable[Категория]=$D15,IF(DataTable[Окончание]&gt;=today,ROW(DataTable[Категория]),"")),H$1)-MATCH(DataTable[[#Headers],[№]],'эпапы, сроки'!$A$1:$A$65546)),"")</f>
        <v/>
      </c>
      <c r="I15" s="103" t="str">
        <f t="array" aca="1" ref="I15" ca="1">IFERROR(INDEX(DataTable[Действие],SMALL(IF(DataTable[Категория]=$D15,IF(DataTable[Окончание]&gt;=today,ROW(DataTable[Категория]),"")),I$1)-MATCH(DataTable[[#Headers],[№]],'эпапы, сроки'!$A$1:$A$65546)),"")</f>
        <v/>
      </c>
      <c r="J15" s="103" t="str">
        <f t="array" aca="1" ref="J15" ca="1">IFERROR(INDEX(DataTable[Действие],SMALL(IF(DataTable[Категория]=$D15,IF(DataTable[Окончание]&gt;=today,ROW(DataTable[Категория]),"")),J$1)-MATCH(DataTable[[#Headers],[№]],'эпапы, сроки'!$A$1:$A$65546)),"")</f>
        <v/>
      </c>
      <c r="K15" s="103" t="str">
        <f t="array" aca="1" ref="K15" ca="1">IFERROR(INDEX(DataTable[Действие],SMALL(IF(DataTable[Категория]=$D15,IF(DataTable[Окончание]&gt;=today,ROW(DataTable[Категория]),"")),K$1)-MATCH(DataTable[[#Headers],[№]],'эпапы, сроки'!$A$1:$A$65546)),"")</f>
        <v/>
      </c>
      <c r="L15" s="104" t="str">
        <f t="array" aca="1" ref="L15" ca="1">IFERROR(INDEX(DataTable[Окончание],SMALL(IF(DataTable[Категория]=$D15,IF(DataTable[Окончание]&gt;=today,ROW(DataTable[Категория]),"")),L$1)-MATCH(DataTable[[#Headers],[№]],'эпапы, сроки'!$A$1:$A$65546)),"")</f>
        <v/>
      </c>
      <c r="M15" s="104" t="str">
        <f t="array" aca="1" ref="M15" ca="1">IFERROR(INDEX(DataTable[Окончание],SMALL(IF(DataTable[Категория]=$D15,IF(DataTable[Окончание]&gt;=today,ROW(DataTable[Категория]),"")),M$1)-MATCH(DataTable[[#Headers],[№]],'эпапы, сроки'!$A$1:$A$65546)),"")</f>
        <v/>
      </c>
      <c r="N15" s="104" t="str">
        <f t="array" aca="1" ref="N15" ca="1">IFERROR(INDEX(DataTable[Окончание],SMALL(IF(DataTable[Категория]=$D15,IF(DataTable[Окончание]&gt;=today,ROW(DataTable[Категория]),"")),N$1)-MATCH(DataTable[[#Headers],[№]],'эпапы, сроки'!$A$1:$A$65546)),"")</f>
        <v/>
      </c>
      <c r="O15" s="104" t="str">
        <f t="array" aca="1" ref="O15" ca="1">IFERROR(INDEX(DataTable[Окончание],SMALL(IF(DataTable[Категория]=$D15,IF(DataTable[Окончание]&gt;=today,ROW(DataTable[Категория]),"")),O$1)-MATCH(DataTable[[#Headers],[№]],'эпапы, сроки'!$A$1:$A$65546)),"")</f>
        <v/>
      </c>
      <c r="P15" s="104" t="str">
        <f t="array" aca="1" ref="P15" ca="1">IFERROR(INDEX(DataTable[Окончание],SMALL(IF(DataTable[Категория]=$D15,IF(DataTable[Окончание]&gt;=today,ROW(DataTable[Категория]),"")),P$1)-MATCH(DataTable[[#Headers],[№]],'эпапы, сроки'!$A$1:$A$65546)),"")</f>
        <v/>
      </c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F15" s="110">
        <v>43215</v>
      </c>
      <c r="AG15" s="100" t="s">
        <v>90</v>
      </c>
      <c r="AH15" s="97"/>
    </row>
    <row r="16" spans="1:34" x14ac:dyDescent="0.2">
      <c r="A16" s="98">
        <v>43250</v>
      </c>
      <c r="B16" s="99">
        <v>1</v>
      </c>
      <c r="D16" s="97"/>
      <c r="E16" s="111"/>
      <c r="F16" s="111"/>
      <c r="G16" s="103" t="str">
        <f t="array" aca="1" ref="G16" ca="1">IFERROR(INDEX(DataTable[Действие],SMALL(IF(DataTable[Категория]=$D16,IF(DataTable[Окончание]&gt;=today,ROW(DataTable[Категория]),"")),G$1)-MATCH(DataTable[[#Headers],[№]],'эпапы, сроки'!$A$1:$A$65546)),"")</f>
        <v/>
      </c>
      <c r="H16" s="103" t="str">
        <f t="array" aca="1" ref="H16" ca="1">IFERROR(INDEX(DataTable[Действие],SMALL(IF(DataTable[Категория]=$D16,IF(DataTable[Окончание]&gt;=today,ROW(DataTable[Категория]),"")),H$1)-MATCH(DataTable[[#Headers],[№]],'эпапы, сроки'!$A$1:$A$65546)),"")</f>
        <v/>
      </c>
      <c r="I16" s="103" t="str">
        <f t="array" aca="1" ref="I16" ca="1">IFERROR(INDEX(DataTable[Действие],SMALL(IF(DataTable[Категория]=$D16,IF(DataTable[Окончание]&gt;=today,ROW(DataTable[Категория]),"")),I$1)-MATCH(DataTable[[#Headers],[№]],'эпапы, сроки'!$A$1:$A$65546)),"")</f>
        <v/>
      </c>
      <c r="J16" s="103" t="str">
        <f t="array" aca="1" ref="J16" ca="1">IFERROR(INDEX(DataTable[Действие],SMALL(IF(DataTable[Категория]=$D16,IF(DataTable[Окончание]&gt;=today,ROW(DataTable[Категория]),"")),J$1)-MATCH(DataTable[[#Headers],[№]],'эпапы, сроки'!$A$1:$A$65546)),"")</f>
        <v/>
      </c>
      <c r="K16" s="103" t="str">
        <f t="array" aca="1" ref="K16" ca="1">IFERROR(INDEX(DataTable[Действие],SMALL(IF(DataTable[Категория]=$D16,IF(DataTable[Окончание]&gt;=today,ROW(DataTable[Категория]),"")),K$1)-MATCH(DataTable[[#Headers],[№]],'эпапы, сроки'!$A$1:$A$65546)),"")</f>
        <v/>
      </c>
      <c r="L16" s="104" t="str">
        <f t="array" aca="1" ref="L16" ca="1">IFERROR(INDEX(DataTable[Окончание],SMALL(IF(DataTable[Категория]=$D16,IF(DataTable[Окончание]&gt;=today,ROW(DataTable[Категория]),"")),L$1)-MATCH(DataTable[[#Headers],[№]],'эпапы, сроки'!$A$1:$A$65546)),"")</f>
        <v/>
      </c>
      <c r="M16" s="104" t="str">
        <f t="array" aca="1" ref="M16" ca="1">IFERROR(INDEX(DataTable[Окончание],SMALL(IF(DataTable[Категория]=$D16,IF(DataTable[Окончание]&gt;=today,ROW(DataTable[Категория]),"")),M$1)-MATCH(DataTable[[#Headers],[№]],'эпапы, сроки'!$A$1:$A$65546)),"")</f>
        <v/>
      </c>
      <c r="N16" s="104" t="str">
        <f t="array" aca="1" ref="N16" ca="1">IFERROR(INDEX(DataTable[Окончание],SMALL(IF(DataTable[Категория]=$D16,IF(DataTable[Окончание]&gt;=today,ROW(DataTable[Категория]),"")),N$1)-MATCH(DataTable[[#Headers],[№]],'эпапы, сроки'!$A$1:$A$65546)),"")</f>
        <v/>
      </c>
      <c r="O16" s="104" t="str">
        <f t="array" aca="1" ref="O16" ca="1">IFERROR(INDEX(DataTable[Окончание],SMALL(IF(DataTable[Категория]=$D16,IF(DataTable[Окончание]&gt;=today,ROW(DataTable[Категория]),"")),O$1)-MATCH(DataTable[[#Headers],[№]],'эпапы, сроки'!$A$1:$A$65546)),"")</f>
        <v/>
      </c>
      <c r="P16" s="104" t="str">
        <f t="array" aca="1" ref="P16" ca="1">IFERROR(INDEX(DataTable[Окончание],SMALL(IF(DataTable[Категория]=$D16,IF(DataTable[Окончание]&gt;=today,ROW(DataTable[Категория]),"")),P$1)-MATCH(DataTable[[#Headers],[№]],'эпапы, сроки'!$A$1:$A$65546)),"")</f>
        <v/>
      </c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F16" s="110">
        <v>43218</v>
      </c>
      <c r="AG16" s="100" t="s">
        <v>83</v>
      </c>
      <c r="AH16" s="97"/>
    </row>
    <row r="17" spans="1:34" x14ac:dyDescent="0.2">
      <c r="A17" s="98">
        <v>43252</v>
      </c>
      <c r="B17" s="99">
        <v>2</v>
      </c>
      <c r="D17" s="97"/>
      <c r="E17" s="111"/>
      <c r="F17" s="111"/>
      <c r="G17" s="103" t="str">
        <f t="array" aca="1" ref="G17" ca="1">IFERROR(INDEX(DataTable[Действие],SMALL(IF(DataTable[Категория]=$D17,IF(DataTable[Окончание]&gt;=today,ROW(DataTable[Категория]),"")),G$1)-MATCH(DataTable[[#Headers],[№]],'эпапы, сроки'!$A$1:$A$65546)),"")</f>
        <v/>
      </c>
      <c r="H17" s="103" t="str">
        <f t="array" aca="1" ref="H17" ca="1">IFERROR(INDEX(DataTable[Действие],SMALL(IF(DataTable[Категория]=$D17,IF(DataTable[Окончание]&gt;=today,ROW(DataTable[Категория]),"")),H$1)-MATCH(DataTable[[#Headers],[№]],'эпапы, сроки'!$A$1:$A$65546)),"")</f>
        <v/>
      </c>
      <c r="I17" s="103" t="str">
        <f t="array" aca="1" ref="I17" ca="1">IFERROR(INDEX(DataTable[Действие],SMALL(IF(DataTable[Категория]=$D17,IF(DataTable[Окончание]&gt;=today,ROW(DataTable[Категория]),"")),I$1)-MATCH(DataTable[[#Headers],[№]],'эпапы, сроки'!$A$1:$A$65546)),"")</f>
        <v/>
      </c>
      <c r="J17" s="103" t="str">
        <f t="array" aca="1" ref="J17" ca="1">IFERROR(INDEX(DataTable[Действие],SMALL(IF(DataTable[Категория]=$D17,IF(DataTable[Окончание]&gt;=today,ROW(DataTable[Категория]),"")),J$1)-MATCH(DataTable[[#Headers],[№]],'эпапы, сроки'!$A$1:$A$65546)),"")</f>
        <v/>
      </c>
      <c r="K17" s="103" t="str">
        <f t="array" aca="1" ref="K17" ca="1">IFERROR(INDEX(DataTable[Действие],SMALL(IF(DataTable[Категория]=$D17,IF(DataTable[Окончание]&gt;=today,ROW(DataTable[Категория]),"")),K$1)-MATCH(DataTable[[#Headers],[№]],'эпапы, сроки'!$A$1:$A$65546)),"")</f>
        <v/>
      </c>
      <c r="L17" s="104" t="str">
        <f t="array" aca="1" ref="L17" ca="1">IFERROR(INDEX(DataTable[Окончание],SMALL(IF(DataTable[Категория]=$D17,IF(DataTable[Окончание]&gt;=today,ROW(DataTable[Категория]),"")),L$1)-MATCH(DataTable[[#Headers],[№]],'эпапы, сроки'!$A$1:$A$65546)),"")</f>
        <v/>
      </c>
      <c r="M17" s="104" t="str">
        <f t="array" aca="1" ref="M17" ca="1">IFERROR(INDEX(DataTable[Окончание],SMALL(IF(DataTable[Категория]=$D17,IF(DataTable[Окончание]&gt;=today,ROW(DataTable[Категория]),"")),M$1)-MATCH(DataTable[[#Headers],[№]],'эпапы, сроки'!$A$1:$A$65546)),"")</f>
        <v/>
      </c>
      <c r="N17" s="104" t="str">
        <f t="array" aca="1" ref="N17" ca="1">IFERROR(INDEX(DataTable[Окончание],SMALL(IF(DataTable[Категория]=$D17,IF(DataTable[Окончание]&gt;=today,ROW(DataTable[Категория]),"")),N$1)-MATCH(DataTable[[#Headers],[№]],'эпапы, сроки'!$A$1:$A$65546)),"")</f>
        <v/>
      </c>
      <c r="O17" s="104" t="str">
        <f t="array" aca="1" ref="O17" ca="1">IFERROR(INDEX(DataTable[Окончание],SMALL(IF(DataTable[Категория]=$D17,IF(DataTable[Окончание]&gt;=today,ROW(DataTable[Категория]),"")),O$1)-MATCH(DataTable[[#Headers],[№]],'эпапы, сроки'!$A$1:$A$65546)),"")</f>
        <v/>
      </c>
      <c r="P17" s="104" t="str">
        <f t="array" aca="1" ref="P17" ca="1">IFERROR(INDEX(DataTable[Окончание],SMALL(IF(DataTable[Категория]=$D17,IF(DataTable[Окончание]&gt;=today,ROW(DataTable[Категория]),"")),P$1)-MATCH(DataTable[[#Headers],[№]],'эпапы, сроки'!$A$1:$A$65546)),"")</f>
        <v/>
      </c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F17" s="110">
        <v>43220</v>
      </c>
      <c r="AG17" s="100" t="s">
        <v>79</v>
      </c>
      <c r="AH17" s="97"/>
    </row>
    <row r="18" spans="1:34" x14ac:dyDescent="0.2">
      <c r="A18" s="98">
        <v>43267</v>
      </c>
      <c r="B18" s="99">
        <v>1</v>
      </c>
      <c r="D18" s="97"/>
      <c r="E18" s="111"/>
      <c r="F18" s="111"/>
      <c r="G18" s="103" t="str">
        <f t="array" aca="1" ref="G18" ca="1">IFERROR(INDEX(DataTable[Действие],SMALL(IF(DataTable[Категория]=$D18,IF(DataTable[Окончание]&gt;=today,ROW(DataTable[Категория]),"")),G$1)-MATCH(DataTable[[#Headers],[№]],'эпапы, сроки'!$A$1:$A$65546)),"")</f>
        <v/>
      </c>
      <c r="H18" s="103" t="str">
        <f t="array" aca="1" ref="H18" ca="1">IFERROR(INDEX(DataTable[Действие],SMALL(IF(DataTable[Категория]=$D18,IF(DataTable[Окончание]&gt;=today,ROW(DataTable[Категория]),"")),H$1)-MATCH(DataTable[[#Headers],[№]],'эпапы, сроки'!$A$1:$A$65546)),"")</f>
        <v/>
      </c>
      <c r="I18" s="103" t="str">
        <f t="array" aca="1" ref="I18" ca="1">IFERROR(INDEX(DataTable[Действие],SMALL(IF(DataTable[Категория]=$D18,IF(DataTable[Окончание]&gt;=today,ROW(DataTable[Категория]),"")),I$1)-MATCH(DataTable[[#Headers],[№]],'эпапы, сроки'!$A$1:$A$65546)),"")</f>
        <v/>
      </c>
      <c r="J18" s="103" t="str">
        <f t="array" aca="1" ref="J18" ca="1">IFERROR(INDEX(DataTable[Действие],SMALL(IF(DataTable[Категория]=$D18,IF(DataTable[Окончание]&gt;=today,ROW(DataTable[Категория]),"")),J$1)-MATCH(DataTable[[#Headers],[№]],'эпапы, сроки'!$A$1:$A$65546)),"")</f>
        <v/>
      </c>
      <c r="K18" s="103" t="str">
        <f t="array" aca="1" ref="K18" ca="1">IFERROR(INDEX(DataTable[Действие],SMALL(IF(DataTable[Категория]=$D18,IF(DataTable[Окончание]&gt;=today,ROW(DataTable[Категория]),"")),K$1)-MATCH(DataTable[[#Headers],[№]],'эпапы, сроки'!$A$1:$A$65546)),"")</f>
        <v/>
      </c>
      <c r="L18" s="104" t="str">
        <f t="array" aca="1" ref="L18" ca="1">IFERROR(INDEX(DataTable[Окончание],SMALL(IF(DataTable[Категория]=$D18,IF(DataTable[Окончание]&gt;=today,ROW(DataTable[Категория]),"")),L$1)-MATCH(DataTable[[#Headers],[№]],'эпапы, сроки'!$A$1:$A$65546)),"")</f>
        <v/>
      </c>
      <c r="M18" s="104" t="str">
        <f t="array" aca="1" ref="M18" ca="1">IFERROR(INDEX(DataTable[Окончание],SMALL(IF(DataTable[Категория]=$D18,IF(DataTable[Окончание]&gt;=today,ROW(DataTable[Категория]),"")),M$1)-MATCH(DataTable[[#Headers],[№]],'эпапы, сроки'!$A$1:$A$65546)),"")</f>
        <v/>
      </c>
      <c r="N18" s="104" t="str">
        <f t="array" aca="1" ref="N18" ca="1">IFERROR(INDEX(DataTable[Окончание],SMALL(IF(DataTable[Категория]=$D18,IF(DataTable[Окончание]&gt;=today,ROW(DataTable[Категория]),"")),N$1)-MATCH(DataTable[[#Headers],[№]],'эпапы, сроки'!$A$1:$A$65546)),"")</f>
        <v/>
      </c>
      <c r="O18" s="104" t="str">
        <f t="array" aca="1" ref="O18" ca="1">IFERROR(INDEX(DataTable[Окончание],SMALL(IF(DataTable[Категория]=$D18,IF(DataTable[Окончание]&gt;=today,ROW(DataTable[Категория]),"")),O$1)-MATCH(DataTable[[#Headers],[№]],'эпапы, сроки'!$A$1:$A$65546)),"")</f>
        <v/>
      </c>
      <c r="P18" s="104" t="str">
        <f t="array" aca="1" ref="P18" ca="1">IFERROR(INDEX(DataTable[Окончание],SMALL(IF(DataTable[Категория]=$D18,IF(DataTable[Окончание]&gt;=today,ROW(DataTable[Категория]),"")),P$1)-MATCH(DataTable[[#Headers],[№]],'эпапы, сроки'!$A$1:$A$65546)),"")</f>
        <v/>
      </c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F18" s="110">
        <v>43223</v>
      </c>
      <c r="AG18" s="100" t="s">
        <v>95</v>
      </c>
      <c r="AH18" s="97"/>
    </row>
    <row r="19" spans="1:34" x14ac:dyDescent="0.2">
      <c r="A19" s="98">
        <v>43281</v>
      </c>
      <c r="B19" s="99">
        <v>1</v>
      </c>
      <c r="G19" s="103" t="str">
        <f t="array" aca="1" ref="G19" ca="1">IFERROR(INDEX(DataTable[Действие],SMALL(IF(DataTable[Категория]=$D19,IF(DataTable[Окончание]&gt;=today,ROW(DataTable[Категория]),"")),G$1)-MATCH(DataTable[[#Headers],[№]],'эпапы, сроки'!$A$1:$A$65546)),"")</f>
        <v/>
      </c>
      <c r="H19" s="103" t="str">
        <f t="array" aca="1" ref="H19" ca="1">IFERROR(INDEX(DataTable[Действие],SMALL(IF(DataTable[Категория]=$D19,IF(DataTable[Окончание]&gt;=today,ROW(DataTable[Категория]),"")),H$1)-MATCH(DataTable[[#Headers],[№]],'эпапы, сроки'!$A$1:$A$65546)),"")</f>
        <v/>
      </c>
      <c r="I19" s="103" t="str">
        <f t="array" aca="1" ref="I19" ca="1">IFERROR(INDEX(DataTable[Действие],SMALL(IF(DataTable[Категория]=$D19,IF(DataTable[Окончание]&gt;=today,ROW(DataTable[Категория]),"")),I$1)-MATCH(DataTable[[#Headers],[№]],'эпапы, сроки'!$A$1:$A$65546)),"")</f>
        <v/>
      </c>
      <c r="J19" s="103" t="str">
        <f t="array" aca="1" ref="J19" ca="1">IFERROR(INDEX(DataTable[Действие],SMALL(IF(DataTable[Категория]=$D19,IF(DataTable[Окончание]&gt;=today,ROW(DataTable[Категория]),"")),J$1)-MATCH(DataTable[[#Headers],[№]],'эпапы, сроки'!$A$1:$A$65546)),"")</f>
        <v/>
      </c>
      <c r="K19" s="103" t="str">
        <f t="array" aca="1" ref="K19" ca="1">IFERROR(INDEX(DataTable[Действие],SMALL(IF(DataTable[Категория]=$D19,IF(DataTable[Окончание]&gt;=today,ROW(DataTable[Категория]),"")),K$1)-MATCH(DataTable[[#Headers],[№]],'эпапы, сроки'!$A$1:$A$65546)),"")</f>
        <v/>
      </c>
      <c r="L19" s="104" t="str">
        <f t="array" aca="1" ref="L19" ca="1">IFERROR(INDEX(DataTable[Окончание],SMALL(IF(DataTable[Категория]=$D19,IF(DataTable[Окончание]&gt;=today,ROW(DataTable[Категория]),"")),L$1)-MATCH(DataTable[[#Headers],[№]],'эпапы, сроки'!$A$1:$A$65546)),"")</f>
        <v/>
      </c>
      <c r="M19" s="104" t="str">
        <f t="array" aca="1" ref="M19" ca="1">IFERROR(INDEX(DataTable[Окончание],SMALL(IF(DataTable[Категория]=$D19,IF(DataTable[Окончание]&gt;=today,ROW(DataTable[Категория]),"")),M$1)-MATCH(DataTable[[#Headers],[№]],'эпапы, сроки'!$A$1:$A$65546)),"")</f>
        <v/>
      </c>
      <c r="N19" s="104" t="str">
        <f t="array" aca="1" ref="N19" ca="1">IFERROR(INDEX(DataTable[Окончание],SMALL(IF(DataTable[Категория]=$D19,IF(DataTable[Окончание]&gt;=today,ROW(DataTable[Категория]),"")),N$1)-MATCH(DataTable[[#Headers],[№]],'эпапы, сроки'!$A$1:$A$65546)),"")</f>
        <v/>
      </c>
      <c r="O19" s="104" t="str">
        <f t="array" aca="1" ref="O19" ca="1">IFERROR(INDEX(DataTable[Окончание],SMALL(IF(DataTable[Категория]=$D19,IF(DataTable[Окончание]&gt;=today,ROW(DataTable[Категория]),"")),O$1)-MATCH(DataTable[[#Headers],[№]],'эпапы, сроки'!$A$1:$A$65546)),"")</f>
        <v/>
      </c>
      <c r="P19" s="104" t="str">
        <f t="array" aca="1" ref="P19" ca="1">IFERROR(INDEX(DataTable[Окончание],SMALL(IF(DataTable[Категория]=$D19,IF(DataTable[Окончание]&gt;=today,ROW(DataTable[Категория]),"")),P$1)-MATCH(DataTable[[#Headers],[№]],'эпапы, сроки'!$A$1:$A$65546)),"")</f>
        <v/>
      </c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F19" s="110">
        <v>43223</v>
      </c>
      <c r="AG19" s="100" t="s">
        <v>103</v>
      </c>
    </row>
    <row r="20" spans="1:34" x14ac:dyDescent="0.2">
      <c r="A20" s="98">
        <v>43295</v>
      </c>
      <c r="B20" s="99">
        <v>6</v>
      </c>
      <c r="G20" s="103" t="str">
        <f t="array" aca="1" ref="G20" ca="1">IFERROR(INDEX(DataTable[Действие],SMALL(IF(DataTable[Категория]=$D20,IF(DataTable[Окончание]&gt;=today,ROW(DataTable[Категория]),"")),G$1)-MATCH(DataTable[[#Headers],[№]],'эпапы, сроки'!$A$1:$A$65546)),"")</f>
        <v/>
      </c>
      <c r="H20" s="103" t="str">
        <f t="array" aca="1" ref="H20" ca="1">IFERROR(INDEX(DataTable[Действие],SMALL(IF(DataTable[Категория]=$D20,IF(DataTable[Окончание]&gt;=today,ROW(DataTable[Категория]),"")),H$1)-MATCH(DataTable[[#Headers],[№]],'эпапы, сроки'!$A$1:$A$65546)),"")</f>
        <v/>
      </c>
      <c r="I20" s="103" t="str">
        <f t="array" aca="1" ref="I20" ca="1">IFERROR(INDEX(DataTable[Действие],SMALL(IF(DataTable[Категория]=$D20,IF(DataTable[Окончание]&gt;=today,ROW(DataTable[Категория]),"")),I$1)-MATCH(DataTable[[#Headers],[№]],'эпапы, сроки'!$A$1:$A$65546)),"")</f>
        <v/>
      </c>
      <c r="J20" s="103" t="str">
        <f t="array" aca="1" ref="J20" ca="1">IFERROR(INDEX(DataTable[Действие],SMALL(IF(DataTable[Категория]=$D20,IF(DataTable[Окончание]&gt;=today,ROW(DataTable[Категория]),"")),J$1)-MATCH(DataTable[[#Headers],[№]],'эпапы, сроки'!$A$1:$A$65546)),"")</f>
        <v/>
      </c>
      <c r="K20" s="103" t="str">
        <f t="array" aca="1" ref="K20" ca="1">IFERROR(INDEX(DataTable[Действие],SMALL(IF(DataTable[Категория]=$D20,IF(DataTable[Окончание]&gt;=today,ROW(DataTable[Категория]),"")),K$1)-MATCH(DataTable[[#Headers],[№]],'эпапы, сроки'!$A$1:$A$65546)),"")</f>
        <v/>
      </c>
      <c r="L20" s="104" t="str">
        <f t="array" aca="1" ref="L20" ca="1">IFERROR(INDEX(DataTable[Окончание],SMALL(IF(DataTable[Категория]=$D20,IF(DataTable[Окончание]&gt;=today,ROW(DataTable[Категория]),"")),L$1)-MATCH(DataTable[[#Headers],[№]],'эпапы, сроки'!$A$1:$A$65546)),"")</f>
        <v/>
      </c>
      <c r="M20" s="104" t="str">
        <f t="array" aca="1" ref="M20" ca="1">IFERROR(INDEX(DataTable[Окончание],SMALL(IF(DataTable[Категория]=$D20,IF(DataTable[Окончание]&gt;=today,ROW(DataTable[Категория]),"")),M$1)-MATCH(DataTable[[#Headers],[№]],'эпапы, сроки'!$A$1:$A$65546)),"")</f>
        <v/>
      </c>
      <c r="N20" s="104" t="str">
        <f t="array" aca="1" ref="N20" ca="1">IFERROR(INDEX(DataTable[Окончание],SMALL(IF(DataTable[Категория]=$D20,IF(DataTable[Окончание]&gt;=today,ROW(DataTable[Категория]),"")),N$1)-MATCH(DataTable[[#Headers],[№]],'эпапы, сроки'!$A$1:$A$65546)),"")</f>
        <v/>
      </c>
      <c r="O20" s="104" t="str">
        <f t="array" aca="1" ref="O20" ca="1">IFERROR(INDEX(DataTable[Окончание],SMALL(IF(DataTable[Категория]=$D20,IF(DataTable[Окончание]&gt;=today,ROW(DataTable[Категория]),"")),O$1)-MATCH(DataTable[[#Headers],[№]],'эпапы, сроки'!$A$1:$A$65546)),"")</f>
        <v/>
      </c>
      <c r="P20" s="104" t="str">
        <f t="array" aca="1" ref="P20" ca="1">IFERROR(INDEX(DataTable[Окончание],SMALL(IF(DataTable[Категория]=$D20,IF(DataTable[Окончание]&gt;=today,ROW(DataTable[Категория]),"")),P$1)-MATCH(DataTable[[#Headers],[№]],'эпапы, сроки'!$A$1:$A$65546)),"")</f>
        <v/>
      </c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F20" s="110">
        <v>43223</v>
      </c>
      <c r="AG20" s="100" t="s">
        <v>102</v>
      </c>
    </row>
    <row r="21" spans="1:34" x14ac:dyDescent="0.2">
      <c r="A21" s="98">
        <v>43298</v>
      </c>
      <c r="B21" s="99">
        <v>1</v>
      </c>
      <c r="G21" s="103" t="str">
        <f t="array" aca="1" ref="G21" ca="1">IFERROR(INDEX(DataTable[Действие],SMALL(IF(DataTable[Категория]=$D21,IF(DataTable[Окончание]&gt;=today,ROW(DataTable[Категория]),"")),G$1)-MATCH(DataTable[[#Headers],[№]],'эпапы, сроки'!$A$1:$A$65546)),"")</f>
        <v/>
      </c>
      <c r="H21" s="103" t="str">
        <f t="array" aca="1" ref="H21" ca="1">IFERROR(INDEX(DataTable[Действие],SMALL(IF(DataTable[Категория]=$D21,IF(DataTable[Окончание]&gt;=today,ROW(DataTable[Категория]),"")),H$1)-MATCH(DataTable[[#Headers],[№]],'эпапы, сроки'!$A$1:$A$65546)),"")</f>
        <v/>
      </c>
      <c r="I21" s="103" t="str">
        <f t="array" aca="1" ref="I21" ca="1">IFERROR(INDEX(DataTable[Действие],SMALL(IF(DataTable[Категория]=$D21,IF(DataTable[Окончание]&gt;=today,ROW(DataTable[Категория]),"")),I$1)-MATCH(DataTable[[#Headers],[№]],'эпапы, сроки'!$A$1:$A$65546)),"")</f>
        <v/>
      </c>
      <c r="J21" s="103" t="str">
        <f t="array" aca="1" ref="J21" ca="1">IFERROR(INDEX(DataTable[Действие],SMALL(IF(DataTable[Категория]=$D21,IF(DataTable[Окончание]&gt;=today,ROW(DataTable[Категория]),"")),J$1)-MATCH(DataTable[[#Headers],[№]],'эпапы, сроки'!$A$1:$A$65546)),"")</f>
        <v/>
      </c>
      <c r="K21" s="103" t="str">
        <f t="array" aca="1" ref="K21" ca="1">IFERROR(INDEX(DataTable[Действие],SMALL(IF(DataTable[Категория]=$D21,IF(DataTable[Окончание]&gt;=today,ROW(DataTable[Категория]),"")),K$1)-MATCH(DataTable[[#Headers],[№]],'эпапы, сроки'!$A$1:$A$65546)),"")</f>
        <v/>
      </c>
      <c r="L21" s="104" t="str">
        <f t="array" aca="1" ref="L21" ca="1">IFERROR(INDEX(DataTable[Окончание],SMALL(IF(DataTable[Категория]=$D21,IF(DataTable[Окончание]&gt;=today,ROW(DataTable[Категория]),"")),L$1)-MATCH(DataTable[[#Headers],[№]],'эпапы, сроки'!$A$1:$A$65546)),"")</f>
        <v/>
      </c>
      <c r="M21" s="104" t="str">
        <f t="array" aca="1" ref="M21" ca="1">IFERROR(INDEX(DataTable[Окончание],SMALL(IF(DataTable[Категория]=$D21,IF(DataTable[Окончание]&gt;=today,ROW(DataTable[Категория]),"")),M$1)-MATCH(DataTable[[#Headers],[№]],'эпапы, сроки'!$A$1:$A$65546)),"")</f>
        <v/>
      </c>
      <c r="N21" s="104" t="str">
        <f t="array" aca="1" ref="N21" ca="1">IFERROR(INDEX(DataTable[Окончание],SMALL(IF(DataTable[Категория]=$D21,IF(DataTable[Окончание]&gt;=today,ROW(DataTable[Категория]),"")),N$1)-MATCH(DataTable[[#Headers],[№]],'эпапы, сроки'!$A$1:$A$65546)),"")</f>
        <v/>
      </c>
      <c r="O21" s="104" t="str">
        <f t="array" aca="1" ref="O21" ca="1">IFERROR(INDEX(DataTable[Окончание],SMALL(IF(DataTable[Категория]=$D21,IF(DataTable[Окончание]&gt;=today,ROW(DataTable[Категория]),"")),O$1)-MATCH(DataTable[[#Headers],[№]],'эпапы, сроки'!$A$1:$A$65546)),"")</f>
        <v/>
      </c>
      <c r="P21" s="104" t="str">
        <f t="array" aca="1" ref="P21" ca="1">IFERROR(INDEX(DataTable[Окончание],SMALL(IF(DataTable[Категория]=$D21,IF(DataTable[Окончание]&gt;=today,ROW(DataTable[Категория]),"")),P$1)-MATCH(DataTable[[#Headers],[№]],'эпапы, сроки'!$A$1:$A$65546)),"")</f>
        <v/>
      </c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F21" s="110">
        <v>43245</v>
      </c>
      <c r="AG21" s="100" t="s">
        <v>88</v>
      </c>
    </row>
    <row r="22" spans="1:34" x14ac:dyDescent="0.2">
      <c r="A22" s="98">
        <v>43306</v>
      </c>
      <c r="B22" s="99">
        <v>2</v>
      </c>
      <c r="G22" s="103" t="str">
        <f t="array" aca="1" ref="G22" ca="1">IFERROR(INDEX(DataTable[Действие],SMALL(IF(DataTable[Категория]=$D22,IF(DataTable[Окончание]&gt;=today,ROW(DataTable[Категория]),"")),G$1)-MATCH(DataTable[[#Headers],[№]],'эпапы, сроки'!$A$1:$A$65546)),"")</f>
        <v/>
      </c>
      <c r="H22" s="103" t="str">
        <f t="array" aca="1" ref="H22" ca="1">IFERROR(INDEX(DataTable[Действие],SMALL(IF(DataTable[Категория]=$D22,IF(DataTable[Окончание]&gt;=today,ROW(DataTable[Категория]),"")),H$1)-MATCH(DataTable[[#Headers],[№]],'эпапы, сроки'!$A$1:$A$65546)),"")</f>
        <v/>
      </c>
      <c r="I22" s="103" t="str">
        <f t="array" aca="1" ref="I22" ca="1">IFERROR(INDEX(DataTable[Действие],SMALL(IF(DataTable[Категория]=$D22,IF(DataTable[Окончание]&gt;=today,ROW(DataTable[Категория]),"")),I$1)-MATCH(DataTable[[#Headers],[№]],'эпапы, сроки'!$A$1:$A$65546)),"")</f>
        <v/>
      </c>
      <c r="J22" s="103" t="str">
        <f t="array" aca="1" ref="J22" ca="1">IFERROR(INDEX(DataTable[Действие],SMALL(IF(DataTable[Категория]=$D22,IF(DataTable[Окончание]&gt;=today,ROW(DataTable[Категория]),"")),J$1)-MATCH(DataTable[[#Headers],[№]],'эпапы, сроки'!$A$1:$A$65546)),"")</f>
        <v/>
      </c>
      <c r="K22" s="103" t="str">
        <f t="array" aca="1" ref="K22" ca="1">IFERROR(INDEX(DataTable[Действие],SMALL(IF(DataTable[Категория]=$D22,IF(DataTable[Окончание]&gt;=today,ROW(DataTable[Категория]),"")),K$1)-MATCH(DataTable[[#Headers],[№]],'эпапы, сроки'!$A$1:$A$65546)),"")</f>
        <v/>
      </c>
      <c r="L22" s="104" t="str">
        <f t="array" aca="1" ref="L22" ca="1">IFERROR(INDEX(DataTable[Окончание],SMALL(IF(DataTable[Категория]=$D22,IF(DataTable[Окончание]&gt;=today,ROW(DataTable[Категория]),"")),L$1)-MATCH(DataTable[[#Headers],[№]],'эпапы, сроки'!$A$1:$A$65546)),"")</f>
        <v/>
      </c>
      <c r="M22" s="104" t="str">
        <f t="array" aca="1" ref="M22" ca="1">IFERROR(INDEX(DataTable[Окончание],SMALL(IF(DataTable[Категория]=$D22,IF(DataTable[Окончание]&gt;=today,ROW(DataTable[Категория]),"")),M$1)-MATCH(DataTable[[#Headers],[№]],'эпапы, сроки'!$A$1:$A$65546)),"")</f>
        <v/>
      </c>
      <c r="N22" s="104" t="str">
        <f t="array" aca="1" ref="N22" ca="1">IFERROR(INDEX(DataTable[Окончание],SMALL(IF(DataTable[Категория]=$D22,IF(DataTable[Окончание]&gt;=today,ROW(DataTable[Категория]),"")),N$1)-MATCH(DataTable[[#Headers],[№]],'эпапы, сроки'!$A$1:$A$65546)),"")</f>
        <v/>
      </c>
      <c r="O22" s="104" t="str">
        <f t="array" aca="1" ref="O22" ca="1">IFERROR(INDEX(DataTable[Окончание],SMALL(IF(DataTable[Категория]=$D22,IF(DataTable[Окончание]&gt;=today,ROW(DataTable[Категория]),"")),O$1)-MATCH(DataTable[[#Headers],[№]],'эпапы, сроки'!$A$1:$A$65546)),"")</f>
        <v/>
      </c>
      <c r="P22" s="104" t="str">
        <f t="array" aca="1" ref="P22" ca="1">IFERROR(INDEX(DataTable[Окончание],SMALL(IF(DataTable[Категория]=$D22,IF(DataTable[Окончание]&gt;=today,ROW(DataTable[Категория]),"")),P$1)-MATCH(DataTable[[#Headers],[№]],'эпапы, сроки'!$A$1:$A$65546)),"")</f>
        <v/>
      </c>
      <c r="U22" s="113"/>
      <c r="V22" s="113"/>
      <c r="W22" s="113"/>
      <c r="X22" s="113"/>
      <c r="Y22" s="113"/>
      <c r="Z22" s="113"/>
      <c r="AA22" s="113"/>
      <c r="AB22" s="113"/>
      <c r="AC22" s="113"/>
      <c r="AD22" s="113"/>
      <c r="AF22" s="110">
        <v>43250</v>
      </c>
      <c r="AG22" s="100" t="s">
        <v>73</v>
      </c>
    </row>
    <row r="23" spans="1:34" x14ac:dyDescent="0.2">
      <c r="A23" s="98">
        <v>43309</v>
      </c>
      <c r="B23" s="99">
        <v>4</v>
      </c>
      <c r="G23" s="103" t="str">
        <f t="array" aca="1" ref="G23" ca="1">IFERROR(INDEX(DataTable[Действие],SMALL(IF(DataTable[Категория]=$D23,IF(DataTable[Окончание]&gt;=today,ROW(DataTable[Категория]),"")),G$1)-MATCH(DataTable[[#Headers],[№]],'эпапы, сроки'!$A$1:$A$65546)),"")</f>
        <v/>
      </c>
      <c r="H23" s="103" t="str">
        <f t="array" aca="1" ref="H23" ca="1">IFERROR(INDEX(DataTable[Действие],SMALL(IF(DataTable[Категория]=$D23,IF(DataTable[Окончание]&gt;=today,ROW(DataTable[Категория]),"")),H$1)-MATCH(DataTable[[#Headers],[№]],'эпапы, сроки'!$A$1:$A$65546)),"")</f>
        <v/>
      </c>
      <c r="I23" s="103" t="str">
        <f t="array" aca="1" ref="I23" ca="1">IFERROR(INDEX(DataTable[Действие],SMALL(IF(DataTable[Категория]=$D23,IF(DataTable[Окончание]&gt;=today,ROW(DataTable[Категория]),"")),I$1)-MATCH(DataTable[[#Headers],[№]],'эпапы, сроки'!$A$1:$A$65546)),"")</f>
        <v/>
      </c>
      <c r="J23" s="103" t="str">
        <f t="array" aca="1" ref="J23" ca="1">IFERROR(INDEX(DataTable[Действие],SMALL(IF(DataTable[Категория]=$D23,IF(DataTable[Окончание]&gt;=today,ROW(DataTable[Категория]),"")),J$1)-MATCH(DataTable[[#Headers],[№]],'эпапы, сроки'!$A$1:$A$65546)),"")</f>
        <v/>
      </c>
      <c r="K23" s="103" t="str">
        <f t="array" aca="1" ref="K23" ca="1">IFERROR(INDEX(DataTable[Действие],SMALL(IF(DataTable[Категория]=$D23,IF(DataTable[Окончание]&gt;=today,ROW(DataTable[Категория]),"")),K$1)-MATCH(DataTable[[#Headers],[№]],'эпапы, сроки'!$A$1:$A$65546)),"")</f>
        <v/>
      </c>
      <c r="L23" s="104" t="str">
        <f t="array" aca="1" ref="L23" ca="1">IFERROR(INDEX(DataTable[Окончание],SMALL(IF(DataTable[Категория]=$D23,IF(DataTable[Окончание]&gt;=today,ROW(DataTable[Категория]),"")),L$1)-MATCH(DataTable[[#Headers],[№]],'эпапы, сроки'!$A$1:$A$65546)),"")</f>
        <v/>
      </c>
      <c r="M23" s="104" t="str">
        <f t="array" aca="1" ref="M23" ca="1">IFERROR(INDEX(DataTable[Окончание],SMALL(IF(DataTable[Категория]=$D23,IF(DataTable[Окончание]&gt;=today,ROW(DataTable[Категория]),"")),M$1)-MATCH(DataTable[[#Headers],[№]],'эпапы, сроки'!$A$1:$A$65546)),"")</f>
        <v/>
      </c>
      <c r="N23" s="104" t="str">
        <f t="array" aca="1" ref="N23" ca="1">IFERROR(INDEX(DataTable[Окончание],SMALL(IF(DataTable[Категория]=$D23,IF(DataTable[Окончание]&gt;=today,ROW(DataTable[Категория]),"")),N$1)-MATCH(DataTable[[#Headers],[№]],'эпапы, сроки'!$A$1:$A$65546)),"")</f>
        <v/>
      </c>
      <c r="O23" s="104" t="str">
        <f t="array" aca="1" ref="O23" ca="1">IFERROR(INDEX(DataTable[Окончание],SMALL(IF(DataTable[Категория]=$D23,IF(DataTable[Окончание]&gt;=today,ROW(DataTable[Категория]),"")),O$1)-MATCH(DataTable[[#Headers],[№]],'эпапы, сроки'!$A$1:$A$65546)),"")</f>
        <v/>
      </c>
      <c r="P23" s="104" t="str">
        <f t="array" aca="1" ref="P23" ca="1">IFERROR(INDEX(DataTable[Окончание],SMALL(IF(DataTable[Категория]=$D23,IF(DataTable[Окончание]&gt;=today,ROW(DataTable[Категория]),"")),P$1)-MATCH(DataTable[[#Headers],[№]],'эпапы, сроки'!$A$1:$A$65546)),"")</f>
        <v/>
      </c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F23" s="110">
        <v>43252</v>
      </c>
      <c r="AG23" s="100" t="s">
        <v>122</v>
      </c>
    </row>
    <row r="24" spans="1:34" x14ac:dyDescent="0.2">
      <c r="A24" s="98">
        <v>43311</v>
      </c>
      <c r="B24" s="99">
        <v>3</v>
      </c>
      <c r="G24" s="103" t="str">
        <f t="array" aca="1" ref="G24" ca="1">IFERROR(INDEX(DataTable[Действие],SMALL(IF(DataTable[Категория]=$D24,IF(DataTable[Окончание]&gt;=today,ROW(DataTable[Категория]),"")),G$1)-MATCH(DataTable[[#Headers],[№]],'эпапы, сроки'!$A$1:$A$65546)),"")</f>
        <v/>
      </c>
      <c r="H24" s="103" t="str">
        <f t="array" aca="1" ref="H24" ca="1">IFERROR(INDEX(DataTable[Действие],SMALL(IF(DataTable[Категория]=$D24,IF(DataTable[Окончание]&gt;=today,ROW(DataTable[Категория]),"")),H$1)-MATCH(DataTable[[#Headers],[№]],'эпапы, сроки'!$A$1:$A$65546)),"")</f>
        <v/>
      </c>
      <c r="I24" s="103" t="str">
        <f t="array" aca="1" ref="I24" ca="1">IFERROR(INDEX(DataTable[Действие],SMALL(IF(DataTable[Категория]=$D24,IF(DataTable[Окончание]&gt;=today,ROW(DataTable[Категория]),"")),I$1)-MATCH(DataTable[[#Headers],[№]],'эпапы, сроки'!$A$1:$A$65546)),"")</f>
        <v/>
      </c>
      <c r="J24" s="103" t="str">
        <f t="array" aca="1" ref="J24" ca="1">IFERROR(INDEX(DataTable[Действие],SMALL(IF(DataTable[Категория]=$D24,IF(DataTable[Окончание]&gt;=today,ROW(DataTable[Категория]),"")),J$1)-MATCH(DataTable[[#Headers],[№]],'эпапы, сроки'!$A$1:$A$65546)),"")</f>
        <v/>
      </c>
      <c r="K24" s="103" t="str">
        <f t="array" aca="1" ref="K24" ca="1">IFERROR(INDEX(DataTable[Действие],SMALL(IF(DataTable[Категория]=$D24,IF(DataTable[Окончание]&gt;=today,ROW(DataTable[Категория]),"")),K$1)-MATCH(DataTable[[#Headers],[№]],'эпапы, сроки'!$A$1:$A$65546)),"")</f>
        <v/>
      </c>
      <c r="L24" s="104" t="str">
        <f t="array" aca="1" ref="L24" ca="1">IFERROR(INDEX(DataTable[Окончание],SMALL(IF(DataTable[Категория]=$D24,IF(DataTable[Окончание]&gt;=today,ROW(DataTable[Категория]),"")),L$1)-MATCH(DataTable[[#Headers],[№]],'эпапы, сроки'!$A$1:$A$65546)),"")</f>
        <v/>
      </c>
      <c r="M24" s="104" t="str">
        <f t="array" aca="1" ref="M24" ca="1">IFERROR(INDEX(DataTable[Окончание],SMALL(IF(DataTable[Категория]=$D24,IF(DataTable[Окончание]&gt;=today,ROW(DataTable[Категория]),"")),M$1)-MATCH(DataTable[[#Headers],[№]],'эпапы, сроки'!$A$1:$A$65546)),"")</f>
        <v/>
      </c>
      <c r="N24" s="104" t="str">
        <f t="array" aca="1" ref="N24" ca="1">IFERROR(INDEX(DataTable[Окончание],SMALL(IF(DataTable[Категория]=$D24,IF(DataTable[Окончание]&gt;=today,ROW(DataTable[Категория]),"")),N$1)-MATCH(DataTable[[#Headers],[№]],'эпапы, сроки'!$A$1:$A$65546)),"")</f>
        <v/>
      </c>
      <c r="O24" s="104" t="str">
        <f t="array" aca="1" ref="O24" ca="1">IFERROR(INDEX(DataTable[Окончание],SMALL(IF(DataTable[Категория]=$D24,IF(DataTable[Окончание]&gt;=today,ROW(DataTable[Категория]),"")),O$1)-MATCH(DataTable[[#Headers],[№]],'эпапы, сроки'!$A$1:$A$65546)),"")</f>
        <v/>
      </c>
      <c r="P24" s="104" t="str">
        <f t="array" aca="1" ref="P24" ca="1">IFERROR(INDEX(DataTable[Окончание],SMALL(IF(DataTable[Категория]=$D24,IF(DataTable[Окончание]&gt;=today,ROW(DataTable[Категория]),"")),P$1)-MATCH(DataTable[[#Headers],[№]],'эпапы, сроки'!$A$1:$A$65546)),"")</f>
        <v/>
      </c>
      <c r="U24" s="113"/>
      <c r="V24" s="113"/>
      <c r="W24" s="113"/>
      <c r="X24" s="113"/>
      <c r="Y24" s="113"/>
      <c r="Z24" s="113"/>
      <c r="AA24" s="113"/>
      <c r="AB24" s="113"/>
      <c r="AC24" s="113"/>
      <c r="AD24" s="113"/>
      <c r="AF24" s="110">
        <v>43252</v>
      </c>
      <c r="AG24" s="100" t="s">
        <v>70</v>
      </c>
    </row>
    <row r="25" spans="1:34" x14ac:dyDescent="0.2">
      <c r="A25" s="98">
        <v>43312</v>
      </c>
      <c r="B25" s="99">
        <v>3</v>
      </c>
      <c r="G25" s="103" t="str">
        <f t="array" aca="1" ref="G25" ca="1">IFERROR(INDEX(DataTable[Действие],SMALL(IF(DataTable[Категория]=$D25,IF(DataTable[Окончание]&gt;=today,ROW(DataTable[Категория]),"")),G$1)-MATCH(DataTable[[#Headers],[№]],'эпапы, сроки'!$A$1:$A$65546)),"")</f>
        <v/>
      </c>
      <c r="H25" s="103" t="str">
        <f t="array" aca="1" ref="H25" ca="1">IFERROR(INDEX(DataTable[Действие],SMALL(IF(DataTable[Категория]=$D25,IF(DataTable[Окончание]&gt;=today,ROW(DataTable[Категория]),"")),H$1)-MATCH(DataTable[[#Headers],[№]],'эпапы, сроки'!$A$1:$A$65546)),"")</f>
        <v/>
      </c>
      <c r="I25" s="103" t="str">
        <f t="array" aca="1" ref="I25" ca="1">IFERROR(INDEX(DataTable[Действие],SMALL(IF(DataTable[Категория]=$D25,IF(DataTable[Окончание]&gt;=today,ROW(DataTable[Категория]),"")),I$1)-MATCH(DataTable[[#Headers],[№]],'эпапы, сроки'!$A$1:$A$65546)),"")</f>
        <v/>
      </c>
      <c r="J25" s="103" t="str">
        <f t="array" aca="1" ref="J25" ca="1">IFERROR(INDEX(DataTable[Действие],SMALL(IF(DataTable[Категория]=$D25,IF(DataTable[Окончание]&gt;=today,ROW(DataTable[Категория]),"")),J$1)-MATCH(DataTable[[#Headers],[№]],'эпапы, сроки'!$A$1:$A$65546)),"")</f>
        <v/>
      </c>
      <c r="K25" s="103" t="str">
        <f t="array" aca="1" ref="K25" ca="1">IFERROR(INDEX(DataTable[Действие],SMALL(IF(DataTable[Категория]=$D25,IF(DataTable[Окончание]&gt;=today,ROW(DataTable[Категория]),"")),K$1)-MATCH(DataTable[[#Headers],[№]],'эпапы, сроки'!$A$1:$A$65546)),"")</f>
        <v/>
      </c>
      <c r="L25" s="104" t="str">
        <f t="array" aca="1" ref="L25" ca="1">IFERROR(INDEX(DataTable[Окончание],SMALL(IF(DataTable[Категория]=$D25,IF(DataTable[Окончание]&gt;=today,ROW(DataTable[Категория]),"")),L$1)-MATCH(DataTable[[#Headers],[№]],'эпапы, сроки'!$A$1:$A$65546)),"")</f>
        <v/>
      </c>
      <c r="M25" s="104" t="str">
        <f t="array" aca="1" ref="M25" ca="1">IFERROR(INDEX(DataTable[Окончание],SMALL(IF(DataTable[Категория]=$D25,IF(DataTable[Окончание]&gt;=today,ROW(DataTable[Категория]),"")),M$1)-MATCH(DataTable[[#Headers],[№]],'эпапы, сроки'!$A$1:$A$65546)),"")</f>
        <v/>
      </c>
      <c r="N25" s="104" t="str">
        <f t="array" aca="1" ref="N25" ca="1">IFERROR(INDEX(DataTable[Окончание],SMALL(IF(DataTable[Категория]=$D25,IF(DataTable[Окончание]&gt;=today,ROW(DataTable[Категория]),"")),N$1)-MATCH(DataTable[[#Headers],[№]],'эпапы, сроки'!$A$1:$A$65546)),"")</f>
        <v/>
      </c>
      <c r="O25" s="104" t="str">
        <f t="array" aca="1" ref="O25" ca="1">IFERROR(INDEX(DataTable[Окончание],SMALL(IF(DataTable[Категория]=$D25,IF(DataTable[Окончание]&gt;=today,ROW(DataTable[Категория]),"")),O$1)-MATCH(DataTable[[#Headers],[№]],'эпапы, сроки'!$A$1:$A$65546)),"")</f>
        <v/>
      </c>
      <c r="P25" s="104" t="str">
        <f t="array" aca="1" ref="P25" ca="1">IFERROR(INDEX(DataTable[Окончание],SMALL(IF(DataTable[Категория]=$D25,IF(DataTable[Окончание]&gt;=today,ROW(DataTable[Категория]),"")),P$1)-MATCH(DataTable[[#Headers],[№]],'эпапы, сроки'!$A$1:$A$65546)),"")</f>
        <v/>
      </c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F25" s="110">
        <v>43267</v>
      </c>
      <c r="AG25" s="100" t="s">
        <v>121</v>
      </c>
    </row>
    <row r="26" spans="1:34" x14ac:dyDescent="0.2">
      <c r="A26" s="98">
        <v>43322</v>
      </c>
      <c r="B26" s="99">
        <v>1</v>
      </c>
      <c r="G26" s="103" t="str">
        <f t="array" aca="1" ref="G26" ca="1">IFERROR(INDEX(DataTable[Действие],SMALL(IF(DataTable[Категория]=$D26,IF(DataTable[Окончание]&gt;=today,ROW(DataTable[Категория]),"")),G$1)-MATCH(DataTable[[#Headers],[№]],'эпапы, сроки'!$A$1:$A$65546)),"")</f>
        <v/>
      </c>
      <c r="H26" s="103" t="str">
        <f t="array" aca="1" ref="H26" ca="1">IFERROR(INDEX(DataTable[Действие],SMALL(IF(DataTable[Категория]=$D26,IF(DataTable[Окончание]&gt;=today,ROW(DataTable[Категория]),"")),H$1)-MATCH(DataTable[[#Headers],[№]],'эпапы, сроки'!$A$1:$A$65546)),"")</f>
        <v/>
      </c>
      <c r="I26" s="103" t="str">
        <f t="array" aca="1" ref="I26" ca="1">IFERROR(INDEX(DataTable[Действие],SMALL(IF(DataTable[Категория]=$D26,IF(DataTable[Окончание]&gt;=today,ROW(DataTable[Категория]),"")),I$1)-MATCH(DataTable[[#Headers],[№]],'эпапы, сроки'!$A$1:$A$65546)),"")</f>
        <v/>
      </c>
      <c r="J26" s="103" t="str">
        <f t="array" aca="1" ref="J26" ca="1">IFERROR(INDEX(DataTable[Действие],SMALL(IF(DataTable[Категория]=$D26,IF(DataTable[Окончание]&gt;=today,ROW(DataTable[Категория]),"")),J$1)-MATCH(DataTable[[#Headers],[№]],'эпапы, сроки'!$A$1:$A$65546)),"")</f>
        <v/>
      </c>
      <c r="K26" s="103" t="str">
        <f t="array" aca="1" ref="K26" ca="1">IFERROR(INDEX(DataTable[Действие],SMALL(IF(DataTable[Категория]=$D26,IF(DataTable[Окончание]&gt;=today,ROW(DataTable[Категория]),"")),K$1)-MATCH(DataTable[[#Headers],[№]],'эпапы, сроки'!$A$1:$A$65546)),"")</f>
        <v/>
      </c>
      <c r="L26" s="104" t="str">
        <f t="array" aca="1" ref="L26" ca="1">IFERROR(INDEX(DataTable[Окончание],SMALL(IF(DataTable[Категория]=$D26,IF(DataTable[Окончание]&gt;=today,ROW(DataTable[Категория]),"")),L$1)-MATCH(DataTable[[#Headers],[№]],'эпапы, сроки'!$A$1:$A$65546)),"")</f>
        <v/>
      </c>
      <c r="M26" s="104" t="str">
        <f t="array" aca="1" ref="M26" ca="1">IFERROR(INDEX(DataTable[Окончание],SMALL(IF(DataTable[Категория]=$D26,IF(DataTable[Окончание]&gt;=today,ROW(DataTable[Категория]),"")),M$1)-MATCH(DataTable[[#Headers],[№]],'эпапы, сроки'!$A$1:$A$65546)),"")</f>
        <v/>
      </c>
      <c r="N26" s="104" t="str">
        <f t="array" aca="1" ref="N26" ca="1">IFERROR(INDEX(DataTable[Окончание],SMALL(IF(DataTable[Категория]=$D26,IF(DataTable[Окончание]&gt;=today,ROW(DataTable[Категория]),"")),N$1)-MATCH(DataTable[[#Headers],[№]],'эпапы, сроки'!$A$1:$A$65546)),"")</f>
        <v/>
      </c>
      <c r="O26" s="104" t="str">
        <f t="array" aca="1" ref="O26" ca="1">IFERROR(INDEX(DataTable[Окончание],SMALL(IF(DataTable[Категория]=$D26,IF(DataTable[Окончание]&gt;=today,ROW(DataTable[Категория]),"")),O$1)-MATCH(DataTable[[#Headers],[№]],'эпапы, сроки'!$A$1:$A$65546)),"")</f>
        <v/>
      </c>
      <c r="P26" s="104" t="str">
        <f t="array" aca="1" ref="P26" ca="1">IFERROR(INDEX(DataTable[Окончание],SMALL(IF(DataTable[Категория]=$D26,IF(DataTable[Окончание]&gt;=today,ROW(DataTable[Категория]),"")),P$1)-MATCH(DataTable[[#Headers],[№]],'эпапы, сроки'!$A$1:$A$65546)),"")</f>
        <v/>
      </c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F26" s="110">
        <v>43281</v>
      </c>
      <c r="AG26" s="100" t="s">
        <v>25</v>
      </c>
    </row>
    <row r="27" spans="1:34" x14ac:dyDescent="0.2">
      <c r="A27" s="98">
        <v>43323</v>
      </c>
      <c r="B27" s="99">
        <v>4</v>
      </c>
      <c r="G27" s="103" t="str">
        <f t="array" aca="1" ref="G27" ca="1">IFERROR(INDEX(DataTable[Действие],SMALL(IF(DataTable[Категория]=$D27,IF(DataTable[Окончание]&gt;=today,ROW(DataTable[Категория]),"")),G$1)-MATCH(DataTable[[#Headers],[№]],'эпапы, сроки'!$A$1:$A$65546)),"")</f>
        <v/>
      </c>
      <c r="H27" s="103" t="str">
        <f t="array" aca="1" ref="H27" ca="1">IFERROR(INDEX(DataTable[Действие],SMALL(IF(DataTable[Категория]=$D27,IF(DataTable[Окончание]&gt;=today,ROW(DataTable[Категория]),"")),H$1)-MATCH(DataTable[[#Headers],[№]],'эпапы, сроки'!$A$1:$A$65546)),"")</f>
        <v/>
      </c>
      <c r="I27" s="103" t="str">
        <f t="array" aca="1" ref="I27" ca="1">IFERROR(INDEX(DataTable[Действие],SMALL(IF(DataTable[Категория]=$D27,IF(DataTable[Окончание]&gt;=today,ROW(DataTable[Категория]),"")),I$1)-MATCH(DataTable[[#Headers],[№]],'эпапы, сроки'!$A$1:$A$65546)),"")</f>
        <v/>
      </c>
      <c r="J27" s="103" t="str">
        <f t="array" aca="1" ref="J27" ca="1">IFERROR(INDEX(DataTable[Действие],SMALL(IF(DataTable[Категория]=$D27,IF(DataTable[Окончание]&gt;=today,ROW(DataTable[Категория]),"")),J$1)-MATCH(DataTable[[#Headers],[№]],'эпапы, сроки'!$A$1:$A$65546)),"")</f>
        <v/>
      </c>
      <c r="K27" s="103" t="str">
        <f t="array" aca="1" ref="K27" ca="1">IFERROR(INDEX(DataTable[Действие],SMALL(IF(DataTable[Категория]=$D27,IF(DataTable[Окончание]&gt;=today,ROW(DataTable[Категория]),"")),K$1)-MATCH(DataTable[[#Headers],[№]],'эпапы, сроки'!$A$1:$A$65546)),"")</f>
        <v/>
      </c>
      <c r="L27" s="104" t="str">
        <f t="array" aca="1" ref="L27" ca="1">IFERROR(INDEX(DataTable[Окончание],SMALL(IF(DataTable[Категория]=$D27,IF(DataTable[Окончание]&gt;=today,ROW(DataTable[Категория]),"")),L$1)-MATCH(DataTable[[#Headers],[№]],'эпапы, сроки'!$A$1:$A$65546)),"")</f>
        <v/>
      </c>
      <c r="M27" s="104" t="str">
        <f t="array" aca="1" ref="M27" ca="1">IFERROR(INDEX(DataTable[Окончание],SMALL(IF(DataTable[Категория]=$D27,IF(DataTable[Окончание]&gt;=today,ROW(DataTable[Категория]),"")),M$1)-MATCH(DataTable[[#Headers],[№]],'эпапы, сроки'!$A$1:$A$65546)),"")</f>
        <v/>
      </c>
      <c r="N27" s="104" t="str">
        <f t="array" aca="1" ref="N27" ca="1">IFERROR(INDEX(DataTable[Окончание],SMALL(IF(DataTable[Категория]=$D27,IF(DataTable[Окончание]&gt;=today,ROW(DataTable[Категория]),"")),N$1)-MATCH(DataTable[[#Headers],[№]],'эпапы, сроки'!$A$1:$A$65546)),"")</f>
        <v/>
      </c>
      <c r="O27" s="104" t="str">
        <f t="array" aca="1" ref="O27" ca="1">IFERROR(INDEX(DataTable[Окончание],SMALL(IF(DataTable[Категория]=$D27,IF(DataTable[Окончание]&gt;=today,ROW(DataTable[Категория]),"")),O$1)-MATCH(DataTable[[#Headers],[№]],'эпапы, сроки'!$A$1:$A$65546)),"")</f>
        <v/>
      </c>
      <c r="P27" s="104" t="str">
        <f t="array" aca="1" ref="P27" ca="1">IFERROR(INDEX(DataTable[Окончание],SMALL(IF(DataTable[Категория]=$D27,IF(DataTable[Окончание]&gt;=today,ROW(DataTable[Категория]),"")),P$1)-MATCH(DataTable[[#Headers],[№]],'эпапы, сроки'!$A$1:$A$65546)),"")</f>
        <v/>
      </c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F27" s="110">
        <v>43295</v>
      </c>
      <c r="AG27" s="100" t="s">
        <v>60</v>
      </c>
    </row>
    <row r="28" spans="1:34" x14ac:dyDescent="0.2">
      <c r="A28" s="98">
        <v>43327</v>
      </c>
      <c r="B28" s="99">
        <v>2</v>
      </c>
      <c r="G28" s="103" t="str">
        <f t="array" aca="1" ref="G28" ca="1">IFERROR(INDEX(DataTable[Действие],SMALL(IF(DataTable[Категория]=$D28,IF(DataTable[Окончание]&gt;=today,ROW(DataTable[Категория]),"")),G$1)-MATCH(DataTable[[#Headers],[№]],'эпапы, сроки'!$A$1:$A$65546)),"")</f>
        <v/>
      </c>
      <c r="H28" s="103" t="str">
        <f t="array" aca="1" ref="H28" ca="1">IFERROR(INDEX(DataTable[Действие],SMALL(IF(DataTable[Категория]=$D28,IF(DataTable[Окончание]&gt;=today,ROW(DataTable[Категория]),"")),H$1)-MATCH(DataTable[[#Headers],[№]],'эпапы, сроки'!$A$1:$A$65546)),"")</f>
        <v/>
      </c>
      <c r="I28" s="103" t="str">
        <f t="array" aca="1" ref="I28" ca="1">IFERROR(INDEX(DataTable[Действие],SMALL(IF(DataTable[Категория]=$D28,IF(DataTable[Окончание]&gt;=today,ROW(DataTable[Категория]),"")),I$1)-MATCH(DataTable[[#Headers],[№]],'эпапы, сроки'!$A$1:$A$65546)),"")</f>
        <v/>
      </c>
      <c r="J28" s="103" t="str">
        <f t="array" aca="1" ref="J28" ca="1">IFERROR(INDEX(DataTable[Действие],SMALL(IF(DataTable[Категория]=$D28,IF(DataTable[Окончание]&gt;=today,ROW(DataTable[Категория]),"")),J$1)-MATCH(DataTable[[#Headers],[№]],'эпапы, сроки'!$A$1:$A$65546)),"")</f>
        <v/>
      </c>
      <c r="K28" s="103" t="str">
        <f t="array" aca="1" ref="K28" ca="1">IFERROR(INDEX(DataTable[Действие],SMALL(IF(DataTable[Категория]=$D28,IF(DataTable[Окончание]&gt;=today,ROW(DataTable[Категория]),"")),K$1)-MATCH(DataTable[[#Headers],[№]],'эпапы, сроки'!$A$1:$A$65546)),"")</f>
        <v/>
      </c>
      <c r="L28" s="104" t="str">
        <f t="array" aca="1" ref="L28" ca="1">IFERROR(INDEX(DataTable[Окончание],SMALL(IF(DataTable[Категория]=$D28,IF(DataTable[Окончание]&gt;=today,ROW(DataTable[Категория]),"")),L$1)-MATCH(DataTable[[#Headers],[№]],'эпапы, сроки'!$A$1:$A$65546)),"")</f>
        <v/>
      </c>
      <c r="M28" s="104" t="str">
        <f t="array" aca="1" ref="M28" ca="1">IFERROR(INDEX(DataTable[Окончание],SMALL(IF(DataTable[Категория]=$D28,IF(DataTable[Окончание]&gt;=today,ROW(DataTable[Категория]),"")),M$1)-MATCH(DataTable[[#Headers],[№]],'эпапы, сроки'!$A$1:$A$65546)),"")</f>
        <v/>
      </c>
      <c r="N28" s="104" t="str">
        <f t="array" aca="1" ref="N28" ca="1">IFERROR(INDEX(DataTable[Окончание],SMALL(IF(DataTable[Категория]=$D28,IF(DataTable[Окончание]&gt;=today,ROW(DataTable[Категория]),"")),N$1)-MATCH(DataTable[[#Headers],[№]],'эпапы, сроки'!$A$1:$A$65546)),"")</f>
        <v/>
      </c>
      <c r="O28" s="104" t="str">
        <f t="array" aca="1" ref="O28" ca="1">IFERROR(INDEX(DataTable[Окончание],SMALL(IF(DataTable[Категория]=$D28,IF(DataTable[Окончание]&gt;=today,ROW(DataTable[Категория]),"")),O$1)-MATCH(DataTable[[#Headers],[№]],'эпапы, сроки'!$A$1:$A$65546)),"")</f>
        <v/>
      </c>
      <c r="P28" s="104" t="str">
        <f t="array" aca="1" ref="P28" ca="1">IFERROR(INDEX(DataTable[Окончание],SMALL(IF(DataTable[Категория]=$D28,IF(DataTable[Окончание]&gt;=today,ROW(DataTable[Категория]),"")),P$1)-MATCH(DataTable[[#Headers],[№]],'эпапы, сроки'!$A$1:$A$65546)),"")</f>
        <v/>
      </c>
      <c r="U28" s="113"/>
      <c r="V28" s="113"/>
      <c r="W28" s="113"/>
      <c r="X28" s="113"/>
      <c r="Y28" s="113"/>
      <c r="Z28" s="113"/>
      <c r="AA28" s="113"/>
      <c r="AB28" s="113"/>
      <c r="AC28" s="113"/>
      <c r="AD28" s="113"/>
      <c r="AF28" s="110">
        <v>43295</v>
      </c>
      <c r="AG28" s="100" t="s">
        <v>29</v>
      </c>
    </row>
    <row r="29" spans="1:34" x14ac:dyDescent="0.2">
      <c r="A29" s="98">
        <v>43344</v>
      </c>
      <c r="B29" s="99">
        <v>3</v>
      </c>
      <c r="G29" s="103" t="str">
        <f t="array" aca="1" ref="G29" ca="1">IFERROR(INDEX(DataTable[Действие],SMALL(IF(DataTable[Категория]=$D29,IF(DataTable[Окончание]&gt;=today,ROW(DataTable[Категория]),"")),G$1)-MATCH(DataTable[[#Headers],[№]],'эпапы, сроки'!$A$1:$A$65546)),"")</f>
        <v/>
      </c>
      <c r="H29" s="103" t="str">
        <f t="array" aca="1" ref="H29" ca="1">IFERROR(INDEX(DataTable[Действие],SMALL(IF(DataTable[Категория]=$D29,IF(DataTable[Окончание]&gt;=today,ROW(DataTable[Категория]),"")),H$1)-MATCH(DataTable[[#Headers],[№]],'эпапы, сроки'!$A$1:$A$65546)),"")</f>
        <v/>
      </c>
      <c r="I29" s="103" t="str">
        <f t="array" aca="1" ref="I29" ca="1">IFERROR(INDEX(DataTable[Действие],SMALL(IF(DataTable[Категория]=$D29,IF(DataTable[Окончание]&gt;=today,ROW(DataTable[Категория]),"")),I$1)-MATCH(DataTable[[#Headers],[№]],'эпапы, сроки'!$A$1:$A$65546)),"")</f>
        <v/>
      </c>
      <c r="J29" s="103" t="str">
        <f t="array" aca="1" ref="J29" ca="1">IFERROR(INDEX(DataTable[Действие],SMALL(IF(DataTable[Категория]=$D29,IF(DataTable[Окончание]&gt;=today,ROW(DataTable[Категория]),"")),J$1)-MATCH(DataTable[[#Headers],[№]],'эпапы, сроки'!$A$1:$A$65546)),"")</f>
        <v/>
      </c>
      <c r="K29" s="103" t="str">
        <f t="array" aca="1" ref="K29" ca="1">IFERROR(INDEX(DataTable[Действие],SMALL(IF(DataTable[Категория]=$D29,IF(DataTable[Окончание]&gt;=today,ROW(DataTable[Категория]),"")),K$1)-MATCH(DataTable[[#Headers],[№]],'эпапы, сроки'!$A$1:$A$65546)),"")</f>
        <v/>
      </c>
      <c r="L29" s="104" t="str">
        <f t="array" aca="1" ref="L29" ca="1">IFERROR(INDEX(DataTable[Окончание],SMALL(IF(DataTable[Категория]=$D29,IF(DataTable[Окончание]&gt;=today,ROW(DataTable[Категория]),"")),L$1)-MATCH(DataTable[[#Headers],[№]],'эпапы, сроки'!$A$1:$A$65546)),"")</f>
        <v/>
      </c>
      <c r="M29" s="104" t="str">
        <f t="array" aca="1" ref="M29" ca="1">IFERROR(INDEX(DataTable[Окончание],SMALL(IF(DataTable[Категория]=$D29,IF(DataTable[Окончание]&gt;=today,ROW(DataTable[Категория]),"")),M$1)-MATCH(DataTable[[#Headers],[№]],'эпапы, сроки'!$A$1:$A$65546)),"")</f>
        <v/>
      </c>
      <c r="N29" s="104" t="str">
        <f t="array" aca="1" ref="N29" ca="1">IFERROR(INDEX(DataTable[Окончание],SMALL(IF(DataTable[Категория]=$D29,IF(DataTable[Окончание]&gt;=today,ROW(DataTable[Категория]),"")),N$1)-MATCH(DataTable[[#Headers],[№]],'эпапы, сроки'!$A$1:$A$65546)),"")</f>
        <v/>
      </c>
      <c r="O29" s="104" t="str">
        <f t="array" aca="1" ref="O29" ca="1">IFERROR(INDEX(DataTable[Окончание],SMALL(IF(DataTable[Категория]=$D29,IF(DataTable[Окончание]&gt;=today,ROW(DataTable[Категория]),"")),O$1)-MATCH(DataTable[[#Headers],[№]],'эпапы, сроки'!$A$1:$A$65546)),"")</f>
        <v/>
      </c>
      <c r="P29" s="104" t="str">
        <f t="array" aca="1" ref="P29" ca="1">IFERROR(INDEX(DataTable[Окончание],SMALL(IF(DataTable[Категория]=$D29,IF(DataTable[Окончание]&gt;=today,ROW(DataTable[Категория]),"")),P$1)-MATCH(DataTable[[#Headers],[№]],'эпапы, сроки'!$A$1:$A$65546)),"")</f>
        <v/>
      </c>
      <c r="U29" s="113"/>
      <c r="V29" s="113"/>
      <c r="W29" s="113"/>
      <c r="X29" s="113"/>
      <c r="Y29" s="113"/>
      <c r="Z29" s="113"/>
      <c r="AA29" s="113"/>
      <c r="AB29" s="113"/>
      <c r="AC29" s="113"/>
      <c r="AD29" s="113"/>
      <c r="AF29" s="110">
        <v>43295</v>
      </c>
      <c r="AG29" s="100" t="s">
        <v>28</v>
      </c>
    </row>
    <row r="30" spans="1:34" x14ac:dyDescent="0.2">
      <c r="A30" s="98">
        <v>43347</v>
      </c>
      <c r="B30" s="99">
        <v>1</v>
      </c>
      <c r="G30" s="103" t="str">
        <f t="array" aca="1" ref="G30" ca="1">IFERROR(INDEX(DataTable[Действие],SMALL(IF(DataTable[Категория]=$D30,IF(DataTable[Окончание]&gt;=today,ROW(DataTable[Категория]),"")),G$1)-MATCH(DataTable[[#Headers],[№]],'эпапы, сроки'!$A$1:$A$65546)),"")</f>
        <v/>
      </c>
      <c r="H30" s="103" t="str">
        <f t="array" aca="1" ref="H30" ca="1">IFERROR(INDEX(DataTable[Действие],SMALL(IF(DataTable[Категория]=$D30,IF(DataTable[Окончание]&gt;=today,ROW(DataTable[Категория]),"")),H$1)-MATCH(DataTable[[#Headers],[№]],'эпапы, сроки'!$A$1:$A$65546)),"")</f>
        <v/>
      </c>
      <c r="I30" s="103" t="str">
        <f t="array" aca="1" ref="I30" ca="1">IFERROR(INDEX(DataTable[Действие],SMALL(IF(DataTable[Категория]=$D30,IF(DataTable[Окончание]&gt;=today,ROW(DataTable[Категория]),"")),I$1)-MATCH(DataTable[[#Headers],[№]],'эпапы, сроки'!$A$1:$A$65546)),"")</f>
        <v/>
      </c>
      <c r="J30" s="103" t="str">
        <f t="array" aca="1" ref="J30" ca="1">IFERROR(INDEX(DataTable[Действие],SMALL(IF(DataTable[Категория]=$D30,IF(DataTable[Окончание]&gt;=today,ROW(DataTable[Категория]),"")),J$1)-MATCH(DataTable[[#Headers],[№]],'эпапы, сроки'!$A$1:$A$65546)),"")</f>
        <v/>
      </c>
      <c r="K30" s="103" t="str">
        <f t="array" aca="1" ref="K30" ca="1">IFERROR(INDEX(DataTable[Действие],SMALL(IF(DataTable[Категория]=$D30,IF(DataTable[Окончание]&gt;=today,ROW(DataTable[Категория]),"")),K$1)-MATCH(DataTable[[#Headers],[№]],'эпапы, сроки'!$A$1:$A$65546)),"")</f>
        <v/>
      </c>
      <c r="L30" s="104" t="str">
        <f t="array" aca="1" ref="L30" ca="1">IFERROR(INDEX(DataTable[Окончание],SMALL(IF(DataTable[Категория]=$D30,IF(DataTable[Окончание]&gt;=today,ROW(DataTable[Категория]),"")),L$1)-MATCH(DataTable[[#Headers],[№]],'эпапы, сроки'!$A$1:$A$65546)),"")</f>
        <v/>
      </c>
      <c r="M30" s="104" t="str">
        <f t="array" aca="1" ref="M30" ca="1">IFERROR(INDEX(DataTable[Окончание],SMALL(IF(DataTable[Категория]=$D30,IF(DataTable[Окончание]&gt;=today,ROW(DataTable[Категория]),"")),M$1)-MATCH(DataTable[[#Headers],[№]],'эпапы, сроки'!$A$1:$A$65546)),"")</f>
        <v/>
      </c>
      <c r="N30" s="104" t="str">
        <f t="array" aca="1" ref="N30" ca="1">IFERROR(INDEX(DataTable[Окончание],SMALL(IF(DataTable[Категория]=$D30,IF(DataTable[Окончание]&gt;=today,ROW(DataTable[Категория]),"")),N$1)-MATCH(DataTable[[#Headers],[№]],'эпапы, сроки'!$A$1:$A$65546)),"")</f>
        <v/>
      </c>
      <c r="O30" s="104" t="str">
        <f t="array" aca="1" ref="O30" ca="1">IFERROR(INDEX(DataTable[Окончание],SMALL(IF(DataTable[Категория]=$D30,IF(DataTable[Окончание]&gt;=today,ROW(DataTable[Категория]),"")),O$1)-MATCH(DataTable[[#Headers],[№]],'эпапы, сроки'!$A$1:$A$65546)),"")</f>
        <v/>
      </c>
      <c r="P30" s="104" t="str">
        <f t="array" aca="1" ref="P30" ca="1">IFERROR(INDEX(DataTable[Окончание],SMALL(IF(DataTable[Категория]=$D30,IF(DataTable[Окончание]&gt;=today,ROW(DataTable[Категория]),"")),P$1)-MATCH(DataTable[[#Headers],[№]],'эпапы, сроки'!$A$1:$A$65546)),"")</f>
        <v/>
      </c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F30" s="110">
        <v>43295</v>
      </c>
      <c r="AG30" s="100" t="s">
        <v>27</v>
      </c>
    </row>
    <row r="31" spans="1:34" x14ac:dyDescent="0.2">
      <c r="A31" s="98">
        <v>43350</v>
      </c>
      <c r="B31" s="99">
        <v>1</v>
      </c>
      <c r="AF31" s="110">
        <v>43295</v>
      </c>
      <c r="AG31" s="100" t="s">
        <v>26</v>
      </c>
    </row>
    <row r="32" spans="1:34" x14ac:dyDescent="0.2">
      <c r="A32" s="98">
        <v>43352</v>
      </c>
      <c r="B32" s="99">
        <v>1</v>
      </c>
      <c r="AF32" s="110">
        <v>43295</v>
      </c>
      <c r="AG32" s="100" t="s">
        <v>59</v>
      </c>
    </row>
    <row r="33" spans="1:33" x14ac:dyDescent="0.2">
      <c r="A33" s="98">
        <v>43358</v>
      </c>
      <c r="B33" s="99">
        <v>1</v>
      </c>
      <c r="AF33" s="110">
        <v>43298</v>
      </c>
      <c r="AG33" s="100" t="s">
        <v>30</v>
      </c>
    </row>
    <row r="34" spans="1:33" x14ac:dyDescent="0.2">
      <c r="A34" s="98">
        <v>43365</v>
      </c>
      <c r="B34" s="99">
        <v>2</v>
      </c>
      <c r="I34" s="98"/>
      <c r="AF34" s="110">
        <v>43306</v>
      </c>
      <c r="AG34" s="100" t="s">
        <v>90</v>
      </c>
    </row>
    <row r="35" spans="1:33" x14ac:dyDescent="0.2">
      <c r="A35" s="98">
        <v>43372</v>
      </c>
      <c r="B35" s="99">
        <v>3</v>
      </c>
      <c r="I35" s="98"/>
      <c r="AF35" s="110">
        <v>43306</v>
      </c>
      <c r="AG35" s="100" t="s">
        <v>93</v>
      </c>
    </row>
    <row r="36" spans="1:33" x14ac:dyDescent="0.2">
      <c r="A36" s="98">
        <v>43375</v>
      </c>
      <c r="B36" s="99">
        <v>1</v>
      </c>
      <c r="I36" s="98"/>
      <c r="AF36" s="110">
        <v>43309</v>
      </c>
      <c r="AG36" s="100" t="s">
        <v>34</v>
      </c>
    </row>
    <row r="37" spans="1:33" x14ac:dyDescent="0.2">
      <c r="A37" s="98">
        <v>43389</v>
      </c>
      <c r="B37" s="99">
        <v>1</v>
      </c>
      <c r="I37" s="98"/>
      <c r="AF37" s="110">
        <v>43309</v>
      </c>
      <c r="AG37" s="100" t="s">
        <v>33</v>
      </c>
    </row>
    <row r="38" spans="1:33" x14ac:dyDescent="0.2">
      <c r="A38" s="98">
        <v>43398</v>
      </c>
      <c r="B38" s="99">
        <v>2</v>
      </c>
      <c r="H38" s="121"/>
      <c r="I38" s="98"/>
      <c r="AF38" s="110">
        <v>43309</v>
      </c>
      <c r="AG38" s="100" t="s">
        <v>31</v>
      </c>
    </row>
    <row r="39" spans="1:33" x14ac:dyDescent="0.2">
      <c r="A39" s="98">
        <v>43402</v>
      </c>
      <c r="B39" s="99">
        <v>1</v>
      </c>
      <c r="H39" s="121" t="s">
        <v>58</v>
      </c>
      <c r="I39" s="98"/>
      <c r="AF39" s="110">
        <v>43309</v>
      </c>
      <c r="AG39" s="100" t="s">
        <v>32</v>
      </c>
    </row>
    <row r="40" spans="1:33" x14ac:dyDescent="0.2">
      <c r="A40" s="98">
        <v>43403</v>
      </c>
      <c r="B40" s="99">
        <v>2</v>
      </c>
      <c r="H40" s="121" t="s">
        <v>65</v>
      </c>
      <c r="I40" s="98"/>
      <c r="AF40" s="110">
        <v>43311</v>
      </c>
      <c r="AG40" s="100" t="s">
        <v>80</v>
      </c>
    </row>
    <row r="41" spans="1:33" x14ac:dyDescent="0.2">
      <c r="A41" s="98">
        <v>43404</v>
      </c>
      <c r="B41" s="99">
        <v>2</v>
      </c>
      <c r="H41" s="121" t="s">
        <v>66</v>
      </c>
      <c r="I41" s="98"/>
      <c r="AF41" s="110">
        <v>43311</v>
      </c>
      <c r="AG41" s="100" t="s">
        <v>95</v>
      </c>
    </row>
    <row r="42" spans="1:33" x14ac:dyDescent="0.2">
      <c r="A42" s="98">
        <v>43405</v>
      </c>
      <c r="B42" s="99">
        <v>2</v>
      </c>
      <c r="I42" s="98"/>
      <c r="AF42" s="110">
        <v>43311</v>
      </c>
      <c r="AG42" s="100" t="s">
        <v>83</v>
      </c>
    </row>
    <row r="43" spans="1:33" x14ac:dyDescent="0.2">
      <c r="A43" s="98">
        <v>43423</v>
      </c>
      <c r="B43" s="99">
        <v>1</v>
      </c>
      <c r="I43" s="98"/>
      <c r="AF43" s="110">
        <v>43312</v>
      </c>
      <c r="AG43" s="100" t="s">
        <v>35</v>
      </c>
    </row>
    <row r="44" spans="1:33" x14ac:dyDescent="0.2">
      <c r="A44" s="98">
        <v>43437</v>
      </c>
      <c r="B44" s="99">
        <v>3</v>
      </c>
      <c r="I44" s="98"/>
      <c r="AF44" s="110">
        <v>43312</v>
      </c>
      <c r="AG44" s="100" t="s">
        <v>103</v>
      </c>
    </row>
    <row r="45" spans="1:33" x14ac:dyDescent="0.2">
      <c r="A45" s="98">
        <v>43463</v>
      </c>
      <c r="B45" s="99">
        <v>2</v>
      </c>
      <c r="I45" s="98"/>
      <c r="AF45" s="110">
        <v>43312</v>
      </c>
      <c r="AG45" s="100" t="s">
        <v>102</v>
      </c>
    </row>
    <row r="46" spans="1:33" x14ac:dyDescent="0.2">
      <c r="A46" s="98">
        <v>43495</v>
      </c>
      <c r="B46" s="99">
        <v>1</v>
      </c>
      <c r="I46" s="98"/>
      <c r="AF46" s="110">
        <v>43322</v>
      </c>
      <c r="AG46" s="100" t="s">
        <v>36</v>
      </c>
    </row>
    <row r="47" spans="1:33" x14ac:dyDescent="0.2">
      <c r="I47" s="98"/>
      <c r="AF47" s="110">
        <v>43323</v>
      </c>
      <c r="AG47" s="100" t="s">
        <v>40</v>
      </c>
    </row>
    <row r="48" spans="1:33" x14ac:dyDescent="0.2">
      <c r="I48" s="98"/>
      <c r="AF48" s="110">
        <v>43323</v>
      </c>
      <c r="AG48" s="100" t="s">
        <v>39</v>
      </c>
    </row>
    <row r="49" spans="9:33" x14ac:dyDescent="0.2">
      <c r="I49" s="98"/>
      <c r="AF49" s="110">
        <v>43323</v>
      </c>
      <c r="AG49" s="100" t="s">
        <v>38</v>
      </c>
    </row>
    <row r="50" spans="9:33" x14ac:dyDescent="0.2">
      <c r="I50" s="98"/>
      <c r="AF50" s="110">
        <v>43323</v>
      </c>
      <c r="AG50" s="100" t="s">
        <v>37</v>
      </c>
    </row>
    <row r="51" spans="9:33" x14ac:dyDescent="0.2">
      <c r="I51" s="98"/>
      <c r="AF51" s="110">
        <v>43327</v>
      </c>
      <c r="AG51" s="100" t="s">
        <v>41</v>
      </c>
    </row>
    <row r="52" spans="9:33" x14ac:dyDescent="0.2">
      <c r="I52" s="98"/>
      <c r="AF52" s="110">
        <v>43327</v>
      </c>
      <c r="AG52" s="100" t="s">
        <v>42</v>
      </c>
    </row>
    <row r="53" spans="9:33" x14ac:dyDescent="0.2">
      <c r="I53" s="98"/>
      <c r="AF53" s="110">
        <v>43344</v>
      </c>
      <c r="AG53" s="100" t="s">
        <v>107</v>
      </c>
    </row>
    <row r="54" spans="9:33" x14ac:dyDescent="0.2">
      <c r="I54" s="98"/>
      <c r="AF54" s="110">
        <v>43344</v>
      </c>
      <c r="AG54" s="100" t="s">
        <v>44</v>
      </c>
    </row>
    <row r="55" spans="9:33" x14ac:dyDescent="0.2">
      <c r="I55" s="98"/>
      <c r="AF55" s="110">
        <v>43344</v>
      </c>
      <c r="AG55" s="100" t="s">
        <v>43</v>
      </c>
    </row>
    <row r="56" spans="9:33" x14ac:dyDescent="0.2">
      <c r="I56" s="98"/>
      <c r="AF56" s="110">
        <v>43347</v>
      </c>
      <c r="AG56" s="100" t="s">
        <v>45</v>
      </c>
    </row>
    <row r="57" spans="9:33" x14ac:dyDescent="0.2">
      <c r="I57" s="98"/>
      <c r="AF57" s="110">
        <v>43350</v>
      </c>
      <c r="AG57" s="100" t="s">
        <v>68</v>
      </c>
    </row>
    <row r="58" spans="9:33" x14ac:dyDescent="0.2">
      <c r="I58" s="98"/>
      <c r="AF58" s="110">
        <v>43352</v>
      </c>
      <c r="AG58" s="100" t="s">
        <v>67</v>
      </c>
    </row>
    <row r="59" spans="9:33" x14ac:dyDescent="0.2">
      <c r="AF59" s="110">
        <v>43358</v>
      </c>
      <c r="AG59" s="100" t="s">
        <v>46</v>
      </c>
    </row>
    <row r="60" spans="9:33" x14ac:dyDescent="0.2">
      <c r="AF60" s="110">
        <v>43365</v>
      </c>
      <c r="AG60" s="100" t="s">
        <v>48</v>
      </c>
    </row>
    <row r="61" spans="9:33" x14ac:dyDescent="0.2">
      <c r="AF61" s="110">
        <v>43365</v>
      </c>
      <c r="AG61" s="100" t="s">
        <v>47</v>
      </c>
    </row>
    <row r="62" spans="9:33" x14ac:dyDescent="0.2">
      <c r="AF62" s="110">
        <v>43372</v>
      </c>
      <c r="AG62" s="100" t="s">
        <v>51</v>
      </c>
    </row>
    <row r="63" spans="9:33" x14ac:dyDescent="0.2">
      <c r="AF63" s="110">
        <v>43372</v>
      </c>
      <c r="AG63" s="100" t="s">
        <v>50</v>
      </c>
    </row>
    <row r="64" spans="9:33" x14ac:dyDescent="0.2">
      <c r="AF64" s="110">
        <v>43372</v>
      </c>
      <c r="AG64" s="100" t="s">
        <v>49</v>
      </c>
    </row>
    <row r="65" spans="23:33" x14ac:dyDescent="0.2">
      <c r="AF65" s="110">
        <v>43375</v>
      </c>
      <c r="AG65" s="100" t="s">
        <v>52</v>
      </c>
    </row>
    <row r="66" spans="23:33" x14ac:dyDescent="0.2">
      <c r="AF66" s="110">
        <v>43389</v>
      </c>
      <c r="AG66" s="100" t="s">
        <v>53</v>
      </c>
    </row>
    <row r="67" spans="23:33" x14ac:dyDescent="0.2">
      <c r="AF67" s="110">
        <v>43398</v>
      </c>
      <c r="AG67" s="100" t="s">
        <v>54</v>
      </c>
    </row>
    <row r="68" spans="23:33" x14ac:dyDescent="0.2">
      <c r="AF68" s="110">
        <v>43398</v>
      </c>
      <c r="AG68" s="100" t="s">
        <v>90</v>
      </c>
    </row>
    <row r="69" spans="23:33" x14ac:dyDescent="0.2">
      <c r="AF69" s="110">
        <v>43402</v>
      </c>
      <c r="AG69" s="100" t="s">
        <v>83</v>
      </c>
    </row>
    <row r="70" spans="23:33" x14ac:dyDescent="0.2">
      <c r="AF70" s="110">
        <v>43403</v>
      </c>
      <c r="AG70" s="100" t="s">
        <v>81</v>
      </c>
    </row>
    <row r="71" spans="23:33" x14ac:dyDescent="0.2">
      <c r="AF71" s="110">
        <v>43403</v>
      </c>
      <c r="AG71" s="100" t="s">
        <v>95</v>
      </c>
    </row>
    <row r="72" spans="23:33" x14ac:dyDescent="0.2">
      <c r="AF72" s="110">
        <v>43404</v>
      </c>
      <c r="AG72" s="100" t="s">
        <v>103</v>
      </c>
    </row>
    <row r="73" spans="23:33" x14ac:dyDescent="0.2">
      <c r="AF73" s="110">
        <v>43404</v>
      </c>
      <c r="AG73" s="100" t="s">
        <v>102</v>
      </c>
    </row>
    <row r="74" spans="23:33" x14ac:dyDescent="0.2">
      <c r="AF74" s="110">
        <v>43405</v>
      </c>
      <c r="AG74" s="100" t="s">
        <v>64</v>
      </c>
    </row>
    <row r="75" spans="23:33" x14ac:dyDescent="0.2">
      <c r="AF75" s="110">
        <v>43405</v>
      </c>
      <c r="AG75" s="100" t="s">
        <v>55</v>
      </c>
    </row>
    <row r="76" spans="23:33" x14ac:dyDescent="0.2">
      <c r="W76" s="95"/>
      <c r="AF76" s="110">
        <v>43423</v>
      </c>
      <c r="AG76" s="100" t="s">
        <v>76</v>
      </c>
    </row>
    <row r="77" spans="23:33" x14ac:dyDescent="0.2">
      <c r="AF77" s="110">
        <v>43437</v>
      </c>
      <c r="AG77" s="100" t="s">
        <v>97</v>
      </c>
    </row>
    <row r="78" spans="23:33" x14ac:dyDescent="0.2">
      <c r="AF78" s="110">
        <v>43437</v>
      </c>
      <c r="AG78" s="100" t="s">
        <v>105</v>
      </c>
    </row>
    <row r="79" spans="23:33" x14ac:dyDescent="0.2">
      <c r="AF79" s="110">
        <v>43437</v>
      </c>
      <c r="AG79" s="100" t="s">
        <v>100</v>
      </c>
    </row>
    <row r="80" spans="23:33" x14ac:dyDescent="0.2">
      <c r="AF80" s="110">
        <v>43463</v>
      </c>
      <c r="AG80" s="100" t="s">
        <v>56</v>
      </c>
    </row>
    <row r="81" spans="32:33" x14ac:dyDescent="0.2">
      <c r="AF81" s="110">
        <v>43463</v>
      </c>
      <c r="AG81" s="100" t="s">
        <v>57</v>
      </c>
    </row>
    <row r="82" spans="32:33" x14ac:dyDescent="0.2">
      <c r="AF82" s="110">
        <v>43495</v>
      </c>
      <c r="AG82" s="100" t="s">
        <v>82</v>
      </c>
    </row>
    <row r="83" spans="32:33" x14ac:dyDescent="0.2">
      <c r="AF83" s="97"/>
      <c r="AG83" s="97"/>
    </row>
    <row r="84" spans="32:33" x14ac:dyDescent="0.2">
      <c r="AF84" s="97"/>
      <c r="AG84" s="97"/>
    </row>
    <row r="85" spans="32:33" x14ac:dyDescent="0.2">
      <c r="AF85" s="97"/>
      <c r="AG85" s="97"/>
    </row>
    <row r="86" spans="32:33" x14ac:dyDescent="0.2">
      <c r="AF86" s="97"/>
      <c r="AG86" s="97"/>
    </row>
    <row r="87" spans="32:33" x14ac:dyDescent="0.2">
      <c r="AF87" s="97"/>
      <c r="AG87" s="97"/>
    </row>
    <row r="88" spans="32:33" x14ac:dyDescent="0.2">
      <c r="AF88" s="97"/>
      <c r="AG88" s="97"/>
    </row>
    <row r="89" spans="32:33" x14ac:dyDescent="0.2">
      <c r="AF89" s="97"/>
      <c r="AG89" s="97"/>
    </row>
    <row r="90" spans="32:33" x14ac:dyDescent="0.2">
      <c r="AF90" s="97"/>
      <c r="AG90" s="97"/>
    </row>
    <row r="91" spans="32:33" x14ac:dyDescent="0.2">
      <c r="AF91" s="97"/>
      <c r="AG91" s="97"/>
    </row>
    <row r="92" spans="32:33" x14ac:dyDescent="0.2">
      <c r="AF92" s="97"/>
      <c r="AG92" s="97"/>
    </row>
    <row r="93" spans="32:33" x14ac:dyDescent="0.2">
      <c r="AF93" s="97"/>
      <c r="AG93" s="97"/>
    </row>
    <row r="94" spans="32:33" x14ac:dyDescent="0.2">
      <c r="AF94" s="97"/>
      <c r="AG94" s="97"/>
    </row>
    <row r="95" spans="32:33" x14ac:dyDescent="0.2">
      <c r="AF95" s="97"/>
      <c r="AG95" s="97"/>
    </row>
  </sheetData>
  <sheetProtection password="8424" sheet="1" objects="1" scenarios="1" autoFilter="0"/>
  <pageMargins left="0.7" right="0.7" top="0.75" bottom="0.75" header="0.3" footer="0.3"/>
  <pageSetup paperSize="9" orientation="portrait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15</vt:i4>
      </vt:variant>
    </vt:vector>
  </HeadingPairs>
  <TitlesOfParts>
    <vt:vector size="22" baseType="lpstr">
      <vt:lpstr>title</vt:lpstr>
      <vt:lpstr>эпапы, сроки</vt:lpstr>
      <vt:lpstr>burndown</vt:lpstr>
      <vt:lpstr>этапы БЦ</vt:lpstr>
      <vt:lpstr>исполнение НПА</vt:lpstr>
      <vt:lpstr>timeline</vt:lpstr>
      <vt:lpstr>control</vt:lpstr>
      <vt:lpstr>category</vt:lpstr>
      <vt:lpstr>category_name</vt:lpstr>
      <vt:lpstr>datecontrol</vt:lpstr>
      <vt:lpstr>EndDates</vt:lpstr>
      <vt:lpstr>NPA</vt:lpstr>
      <vt:lpstr>NPA_name</vt:lpstr>
      <vt:lpstr>burndown!Print_Area</vt:lpstr>
      <vt:lpstr>timeline!Print_Area</vt:lpstr>
      <vt:lpstr>title!Print_Area</vt:lpstr>
      <vt:lpstr>'исполнение НПА'!Print_Area</vt:lpstr>
      <vt:lpstr>'эпапы, сроки'!Print_Area</vt:lpstr>
      <vt:lpstr>'этапы БЦ'!Print_Area</vt:lpstr>
      <vt:lpstr>burndown!Print_Titles</vt:lpstr>
      <vt:lpstr>'эпапы, сроки'!Print_Titles</vt:lpstr>
      <vt:lpstr>today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Кулешов</cp:lastModifiedBy>
  <cp:lastPrinted>2018-07-03T11:13:45Z</cp:lastPrinted>
  <dcterms:created xsi:type="dcterms:W3CDTF">2016-07-21T15:14:49Z</dcterms:created>
  <dcterms:modified xsi:type="dcterms:W3CDTF">2018-07-06T08:41:25Z</dcterms:modified>
</cp:coreProperties>
</file>